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22995" windowHeight="9270" activeTab="2"/>
  </bookViews>
  <sheets>
    <sheet name="Soil" sheetId="3" r:id="rId1"/>
    <sheet name="Air" sheetId="2" r:id="rId2"/>
    <sheet name="2-D External Exposure" sheetId="5" r:id="rId3"/>
    <sheet name="Isotope Specific Factors" sheetId="6" r:id="rId4"/>
  </sheets>
  <calcPr calcId="145621"/>
</workbook>
</file>

<file path=xl/calcChain.xml><?xml version="1.0" encoding="utf-8"?>
<calcChain xmlns="http://schemas.openxmlformats.org/spreadsheetml/2006/main">
  <c r="L5" i="5" l="1"/>
  <c r="L4" i="5"/>
  <c r="L3" i="5"/>
  <c r="L2" i="5"/>
  <c r="I2" i="5"/>
  <c r="J2" i="5"/>
  <c r="K2" i="5"/>
  <c r="I3" i="5"/>
  <c r="J3" i="5"/>
  <c r="K3" i="5"/>
  <c r="I4" i="5"/>
  <c r="J4" i="5"/>
  <c r="K4" i="5"/>
  <c r="I5" i="5"/>
  <c r="J5" i="5"/>
  <c r="K5" i="5"/>
  <c r="H5" i="5"/>
  <c r="H4" i="5"/>
  <c r="H3" i="5"/>
  <c r="H2" i="5"/>
  <c r="K5" i="2"/>
  <c r="K4" i="2"/>
  <c r="K3" i="2"/>
  <c r="K2" i="2"/>
  <c r="J5" i="2"/>
  <c r="J4" i="2"/>
  <c r="J3" i="2"/>
  <c r="J2" i="2"/>
  <c r="L5" i="3"/>
  <c r="L4" i="3"/>
  <c r="L3" i="3"/>
  <c r="L2" i="3"/>
  <c r="K5" i="3"/>
  <c r="K4" i="3"/>
  <c r="K3" i="3"/>
  <c r="K2" i="3"/>
  <c r="J5" i="3"/>
  <c r="J4" i="3"/>
  <c r="J3" i="3"/>
  <c r="J2" i="3"/>
  <c r="I7" i="6"/>
  <c r="I4" i="6"/>
  <c r="I3" i="6"/>
  <c r="U46" i="5" l="1"/>
  <c r="U45" i="5"/>
  <c r="U44" i="5"/>
  <c r="U43" i="5"/>
  <c r="U42" i="5"/>
  <c r="U36" i="5"/>
  <c r="U35" i="5"/>
  <c r="U34" i="5"/>
  <c r="U33" i="5"/>
  <c r="U32" i="5"/>
  <c r="U31" i="5"/>
  <c r="U30" i="5"/>
  <c r="U29" i="5"/>
  <c r="U28" i="5"/>
  <c r="U27" i="5"/>
  <c r="N46" i="5"/>
  <c r="N45" i="5"/>
  <c r="N44" i="5"/>
  <c r="N43" i="5"/>
  <c r="N42" i="5"/>
  <c r="N36" i="5"/>
  <c r="N35" i="5"/>
  <c r="N34" i="5"/>
  <c r="N33" i="5"/>
  <c r="N32" i="5"/>
  <c r="N31" i="5"/>
  <c r="N30" i="5"/>
  <c r="N29" i="5"/>
  <c r="N28" i="5"/>
  <c r="N27" i="5"/>
  <c r="G46" i="5"/>
  <c r="G45" i="5"/>
  <c r="G44" i="5"/>
  <c r="G43" i="5"/>
  <c r="G42" i="5"/>
  <c r="G36" i="5"/>
  <c r="G35" i="5"/>
  <c r="G34" i="5"/>
  <c r="G33" i="5"/>
  <c r="G32" i="5"/>
  <c r="G31" i="5"/>
  <c r="G30" i="5"/>
  <c r="G29" i="5"/>
  <c r="G28" i="5"/>
  <c r="G27" i="5"/>
  <c r="F5" i="5" l="1"/>
  <c r="F4" i="5"/>
  <c r="G4" i="5" s="1"/>
  <c r="F3" i="5"/>
  <c r="F2" i="5"/>
  <c r="B4" i="5"/>
  <c r="I15" i="2"/>
  <c r="J18" i="2"/>
  <c r="I18" i="2"/>
  <c r="J12" i="2"/>
  <c r="I12" i="2"/>
  <c r="J9" i="2"/>
  <c r="I9" i="2"/>
  <c r="J45" i="2"/>
  <c r="J44" i="2"/>
  <c r="J43" i="2"/>
  <c r="J42" i="2"/>
  <c r="J41" i="2"/>
  <c r="J40" i="2"/>
  <c r="J39" i="2"/>
  <c r="J37" i="2"/>
  <c r="J36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K18" i="2"/>
  <c r="H18" i="2"/>
  <c r="K15" i="2"/>
  <c r="H15" i="2"/>
  <c r="K12" i="2"/>
  <c r="H12" i="2"/>
  <c r="K9" i="2"/>
  <c r="H9" i="2"/>
  <c r="T14" i="5" l="1"/>
  <c r="S14" i="5"/>
  <c r="V14" i="5"/>
  <c r="R14" i="5"/>
  <c r="U14" i="5"/>
  <c r="S17" i="5"/>
  <c r="V17" i="5"/>
  <c r="U17" i="5"/>
  <c r="T17" i="5"/>
  <c r="R17" i="5"/>
  <c r="T23" i="5"/>
  <c r="S23" i="5"/>
  <c r="V23" i="5"/>
  <c r="R23" i="5"/>
  <c r="U23" i="5"/>
  <c r="G2" i="5"/>
  <c r="N14" i="5"/>
  <c r="F14" i="5"/>
  <c r="M14" i="5"/>
  <c r="G14" i="5"/>
  <c r="H14" i="5"/>
  <c r="D14" i="5"/>
  <c r="O14" i="5"/>
  <c r="E14" i="5"/>
  <c r="L14" i="5"/>
  <c r="K14" i="5"/>
  <c r="G3" i="5"/>
  <c r="N17" i="5"/>
  <c r="F17" i="5"/>
  <c r="M17" i="5"/>
  <c r="G17" i="5"/>
  <c r="D17" i="5"/>
  <c r="L17" i="5"/>
  <c r="K17" i="5"/>
  <c r="H17" i="5"/>
  <c r="O17" i="5"/>
  <c r="E17" i="5"/>
  <c r="G5" i="5"/>
  <c r="O23" i="5"/>
  <c r="K23" i="5"/>
  <c r="F23" i="5"/>
  <c r="D23" i="5"/>
  <c r="G23" i="5"/>
  <c r="M23" i="5"/>
  <c r="H23" i="5"/>
  <c r="L23" i="5"/>
  <c r="E23" i="5"/>
  <c r="N23" i="5"/>
  <c r="U15" i="5" l="1"/>
  <c r="V15" i="5"/>
  <c r="V16" i="5" s="1"/>
  <c r="S15" i="5"/>
  <c r="S16" i="5" s="1"/>
  <c r="T15" i="5"/>
  <c r="T16" i="5" s="1"/>
  <c r="R15" i="5"/>
  <c r="R16" i="5"/>
  <c r="V18" i="5"/>
  <c r="R18" i="5"/>
  <c r="R19" i="5" s="1"/>
  <c r="U18" i="5"/>
  <c r="U19" i="5" s="1"/>
  <c r="S18" i="5"/>
  <c r="S19" i="5" s="1"/>
  <c r="T18" i="5"/>
  <c r="T19" i="5" s="1"/>
  <c r="V19" i="5"/>
  <c r="S24" i="5"/>
  <c r="S25" i="5" s="1"/>
  <c r="R24" i="5"/>
  <c r="R25" i="5" s="1"/>
  <c r="T24" i="5"/>
  <c r="T25" i="5" s="1"/>
  <c r="U24" i="5"/>
  <c r="U25" i="5" s="1"/>
  <c r="V24" i="5"/>
  <c r="V25" i="5"/>
  <c r="U16" i="5"/>
  <c r="M18" i="5"/>
  <c r="M19" i="5" s="1"/>
  <c r="N18" i="5"/>
  <c r="O18" i="5"/>
  <c r="L18" i="5"/>
  <c r="L19" i="5" s="1"/>
  <c r="K18" i="5"/>
  <c r="K19" i="5" s="1"/>
  <c r="L25" i="5"/>
  <c r="N24" i="5"/>
  <c r="N25" i="5" s="1"/>
  <c r="O24" i="5"/>
  <c r="O25" i="5" s="1"/>
  <c r="L24" i="5"/>
  <c r="K24" i="5"/>
  <c r="K25" i="5" s="1"/>
  <c r="M24" i="5"/>
  <c r="M25" i="5" s="1"/>
  <c r="O19" i="5"/>
  <c r="N19" i="5"/>
  <c r="L15" i="5"/>
  <c r="L16" i="5" s="1"/>
  <c r="K15" i="5"/>
  <c r="K16" i="5" s="1"/>
  <c r="M15" i="5"/>
  <c r="M16" i="5" s="1"/>
  <c r="N15" i="5"/>
  <c r="N16" i="5" s="1"/>
  <c r="O15" i="5"/>
  <c r="O16" i="5" s="1"/>
  <c r="E24" i="5"/>
  <c r="E25" i="5" s="1"/>
  <c r="D24" i="5"/>
  <c r="D25" i="5" s="1"/>
  <c r="F24" i="5"/>
  <c r="F25" i="5" s="1"/>
  <c r="G24" i="5"/>
  <c r="G25" i="5" s="1"/>
  <c r="H24" i="5"/>
  <c r="H25" i="5" s="1"/>
  <c r="G15" i="5"/>
  <c r="G16" i="5" s="1"/>
  <c r="E15" i="5"/>
  <c r="E16" i="5" s="1"/>
  <c r="F15" i="5"/>
  <c r="F16" i="5" s="1"/>
  <c r="H15" i="5"/>
  <c r="H16" i="5" s="1"/>
  <c r="D15" i="5"/>
  <c r="D16" i="5" s="1"/>
  <c r="H18" i="5"/>
  <c r="H19" i="5" s="1"/>
  <c r="E18" i="5"/>
  <c r="E19" i="5" s="1"/>
  <c r="D18" i="5"/>
  <c r="D19" i="5" s="1"/>
  <c r="F18" i="5"/>
  <c r="F19" i="5" s="1"/>
  <c r="G18" i="5"/>
  <c r="G19" i="5" s="1"/>
  <c r="H5" i="2" l="1"/>
  <c r="H4" i="2"/>
  <c r="H3" i="2"/>
  <c r="H2" i="2"/>
  <c r="B4" i="2"/>
  <c r="N18" i="3"/>
  <c r="N15" i="3"/>
  <c r="N12" i="3"/>
  <c r="N9" i="3"/>
  <c r="B57" i="3"/>
  <c r="B54" i="3" s="1"/>
  <c r="B61" i="3"/>
  <c r="B59" i="3" s="1"/>
  <c r="B62" i="3"/>
  <c r="B48" i="3"/>
  <c r="B41" i="3"/>
  <c r="B35" i="3"/>
  <c r="N37" i="3"/>
  <c r="N36" i="3"/>
  <c r="N35" i="3"/>
  <c r="N34" i="3"/>
  <c r="N33" i="3"/>
  <c r="N31" i="3"/>
  <c r="N29" i="3"/>
  <c r="N28" i="3"/>
  <c r="N27" i="3"/>
  <c r="N26" i="3"/>
  <c r="N25" i="3"/>
  <c r="N24" i="3"/>
  <c r="N23" i="3"/>
  <c r="N22" i="3"/>
  <c r="I37" i="3"/>
  <c r="I36" i="3"/>
  <c r="I35" i="3"/>
  <c r="I34" i="3"/>
  <c r="I33" i="3"/>
  <c r="I31" i="3"/>
  <c r="I29" i="3"/>
  <c r="I28" i="3"/>
  <c r="I27" i="3"/>
  <c r="I26" i="3"/>
  <c r="I25" i="3"/>
  <c r="I24" i="3"/>
  <c r="I23" i="3"/>
  <c r="I22" i="3"/>
  <c r="I18" i="3"/>
  <c r="I15" i="3"/>
  <c r="I12" i="3"/>
  <c r="I9" i="3"/>
  <c r="B34" i="3"/>
  <c r="B14" i="3" s="1"/>
  <c r="B21" i="3"/>
  <c r="B18" i="3"/>
  <c r="B15" i="3"/>
  <c r="B13" i="3"/>
  <c r="B4" i="3"/>
  <c r="B16" i="3" s="1"/>
  <c r="H5" i="3"/>
  <c r="I5" i="3" s="1"/>
  <c r="M19" i="3" s="1"/>
  <c r="H4" i="3"/>
  <c r="I4" i="3" s="1"/>
  <c r="H3" i="3"/>
  <c r="I3" i="3" s="1"/>
  <c r="H2" i="3"/>
  <c r="I2" i="3" s="1"/>
  <c r="H10" i="3" s="1"/>
  <c r="I13" i="2" l="1"/>
  <c r="I14" i="2" s="1"/>
  <c r="I10" i="2"/>
  <c r="I11" i="2" s="1"/>
  <c r="I16" i="2"/>
  <c r="I17" i="2" s="1"/>
  <c r="K16" i="2" s="1"/>
  <c r="K17" i="2" s="1"/>
  <c r="J19" i="2"/>
  <c r="J20" i="2" s="1"/>
  <c r="J10" i="2"/>
  <c r="J11" i="2" s="1"/>
  <c r="K10" i="2" s="1"/>
  <c r="K11" i="2" s="1"/>
  <c r="I19" i="2"/>
  <c r="I20" i="2" s="1"/>
  <c r="J13" i="2"/>
  <c r="J14" i="2" s="1"/>
  <c r="I5" i="2"/>
  <c r="F18" i="2"/>
  <c r="G18" i="2"/>
  <c r="I3" i="2"/>
  <c r="F12" i="2"/>
  <c r="G12" i="2"/>
  <c r="I4" i="2"/>
  <c r="F16" i="2" s="1"/>
  <c r="F15" i="2"/>
  <c r="F17" i="2" s="1"/>
  <c r="H16" i="2" s="1"/>
  <c r="H17" i="2" s="1"/>
  <c r="M18" i="3"/>
  <c r="H13" i="3"/>
  <c r="G16" i="3"/>
  <c r="F18" i="3"/>
  <c r="I2" i="2"/>
  <c r="G9" i="2"/>
  <c r="F9" i="2"/>
  <c r="H18" i="3"/>
  <c r="K9" i="3"/>
  <c r="M10" i="3"/>
  <c r="L15" i="3"/>
  <c r="L18" i="3"/>
  <c r="L16" i="3"/>
  <c r="H12" i="3"/>
  <c r="L9" i="3"/>
  <c r="L12" i="3"/>
  <c r="K13" i="3"/>
  <c r="K19" i="3"/>
  <c r="G15" i="3"/>
  <c r="G17" i="3" s="1"/>
  <c r="I16" i="3" s="1"/>
  <c r="I17" i="3" s="1"/>
  <c r="M9" i="3"/>
  <c r="M11" i="3" s="1"/>
  <c r="M12" i="3"/>
  <c r="K18" i="3"/>
  <c r="K10" i="3"/>
  <c r="K11" i="3" s="1"/>
  <c r="K12" i="3"/>
  <c r="M13" i="3"/>
  <c r="K20" i="3"/>
  <c r="L17" i="3"/>
  <c r="N16" i="3" s="1"/>
  <c r="N17" i="3" s="1"/>
  <c r="M20" i="3"/>
  <c r="M14" i="3"/>
  <c r="H14" i="3"/>
  <c r="F10" i="3"/>
  <c r="F19" i="3"/>
  <c r="F9" i="3"/>
  <c r="G12" i="3"/>
  <c r="H9" i="3"/>
  <c r="H11" i="3" s="1"/>
  <c r="F13" i="3"/>
  <c r="H19" i="3"/>
  <c r="G9" i="3"/>
  <c r="F12" i="3"/>
  <c r="G18" i="3"/>
  <c r="B36" i="3"/>
  <c r="B11" i="3"/>
  <c r="G10" i="3" s="1"/>
  <c r="K13" i="2" l="1"/>
  <c r="K14" i="2" s="1"/>
  <c r="F19" i="2"/>
  <c r="F20" i="2" s="1"/>
  <c r="G19" i="2"/>
  <c r="G20" i="2" s="1"/>
  <c r="F13" i="2"/>
  <c r="F14" i="2" s="1"/>
  <c r="G13" i="2"/>
  <c r="G14" i="2" s="1"/>
  <c r="K19" i="2"/>
  <c r="K20" i="2" s="1"/>
  <c r="K14" i="3"/>
  <c r="F20" i="3"/>
  <c r="G11" i="3"/>
  <c r="F10" i="2"/>
  <c r="F11" i="2" s="1"/>
  <c r="G10" i="2"/>
  <c r="G11" i="2" s="1"/>
  <c r="H20" i="3"/>
  <c r="F14" i="3"/>
  <c r="G13" i="3"/>
  <c r="G14" i="3" s="1"/>
  <c r="I13" i="3" s="1"/>
  <c r="I14" i="3" s="1"/>
  <c r="G19" i="3"/>
  <c r="G20" i="3" s="1"/>
  <c r="F11" i="3"/>
  <c r="B12" i="3"/>
  <c r="H13" i="2" l="1"/>
  <c r="H14" i="2" s="1"/>
  <c r="H10" i="2"/>
  <c r="H11" i="2" s="1"/>
  <c r="H19" i="2"/>
  <c r="H20" i="2" s="1"/>
  <c r="I19" i="3"/>
  <c r="I20" i="3" s="1"/>
  <c r="I10" i="3"/>
  <c r="I11" i="3" s="1"/>
  <c r="L13" i="3"/>
  <c r="L14" i="3" s="1"/>
  <c r="N13" i="3" s="1"/>
  <c r="N14" i="3" s="1"/>
  <c r="L10" i="3"/>
  <c r="L11" i="3" s="1"/>
  <c r="N10" i="3" s="1"/>
  <c r="N11" i="3" s="1"/>
  <c r="L19" i="3"/>
  <c r="L20" i="3" s="1"/>
  <c r="N19" i="3" s="1"/>
  <c r="N20" i="3" s="1"/>
</calcChain>
</file>

<file path=xl/sharedStrings.xml><?xml version="1.0" encoding="utf-8"?>
<sst xmlns="http://schemas.openxmlformats.org/spreadsheetml/2006/main" count="510" uniqueCount="147">
  <si>
    <t>Variables</t>
  </si>
  <si>
    <t>Defaults</t>
  </si>
  <si>
    <t>TR</t>
  </si>
  <si>
    <t>t(cw)</t>
  </si>
  <si>
    <t>EF(cw)</t>
  </si>
  <si>
    <t>EW(cw)</t>
  </si>
  <si>
    <t>DW(cw)</t>
  </si>
  <si>
    <t>ED(cw)</t>
  </si>
  <si>
    <t>IRS(cw)</t>
  </si>
  <si>
    <t>ET(cw)</t>
  </si>
  <si>
    <t>IRA(cw)</t>
  </si>
  <si>
    <t>PEF(sc)</t>
  </si>
  <si>
    <t>Q/C(sr)</t>
  </si>
  <si>
    <t>F(D)</t>
  </si>
  <si>
    <t>A(R )</t>
  </si>
  <si>
    <t>p</t>
  </si>
  <si>
    <t>M(dry)</t>
  </si>
  <si>
    <t>A</t>
  </si>
  <si>
    <t>A(s)</t>
  </si>
  <si>
    <t>B</t>
  </si>
  <si>
    <t>C</t>
  </si>
  <si>
    <t>L(R )</t>
  </si>
  <si>
    <t>W(R )</t>
  </si>
  <si>
    <t>GSF(o)</t>
  </si>
  <si>
    <t>ACF(ext-sv)</t>
  </si>
  <si>
    <t>s</t>
  </si>
  <si>
    <t>t(c )</t>
  </si>
  <si>
    <t>Ingestion</t>
  </si>
  <si>
    <t>Inhalation</t>
  </si>
  <si>
    <t>External</t>
  </si>
  <si>
    <t>Total</t>
  </si>
  <si>
    <t>Calculated</t>
  </si>
  <si>
    <t>PRG</t>
  </si>
  <si>
    <t>% Differ.</t>
  </si>
  <si>
    <t>Am-241</t>
  </si>
  <si>
    <t>Co-60</t>
  </si>
  <si>
    <t>H-3</t>
  </si>
  <si>
    <t>Pu-238</t>
  </si>
  <si>
    <t>Halflife (y)</t>
  </si>
  <si>
    <t>λ</t>
  </si>
  <si>
    <t>PEF'(sc)</t>
  </si>
  <si>
    <t>T</t>
  </si>
  <si>
    <t>W</t>
  </si>
  <si>
    <t>ΣVKT</t>
  </si>
  <si>
    <t># of cars</t>
  </si>
  <si>
    <t>tons/car</t>
  </si>
  <si>
    <t># of trucks</t>
  </si>
  <si>
    <t>tons/truck</t>
  </si>
  <si>
    <t>total vehicles</t>
  </si>
  <si>
    <t>distance</t>
  </si>
  <si>
    <t>Q/C(sa)</t>
  </si>
  <si>
    <t>&lt;J'(T)&gt;</t>
  </si>
  <si>
    <t>Mpc(wind)</t>
  </si>
  <si>
    <t>A(surf)</t>
  </si>
  <si>
    <t>V</t>
  </si>
  <si>
    <t>ED</t>
  </si>
  <si>
    <t>M(excav)</t>
  </si>
  <si>
    <t>M(m-excav)</t>
  </si>
  <si>
    <t>ρ(soil)</t>
  </si>
  <si>
    <t>A(excav)</t>
  </si>
  <si>
    <t>d(excav)</t>
  </si>
  <si>
    <t>N(A-dump)</t>
  </si>
  <si>
    <t>M(doz)</t>
  </si>
  <si>
    <t>s(doz)</t>
  </si>
  <si>
    <t>M(m-doz)</t>
  </si>
  <si>
    <t>ΣVKT(doz)</t>
  </si>
  <si>
    <t>S(doz)</t>
  </si>
  <si>
    <t>M(grade)</t>
  </si>
  <si>
    <t>S(grade)</t>
  </si>
  <si>
    <t>ΣVKT(grade)</t>
  </si>
  <si>
    <t>M(till)</t>
  </si>
  <si>
    <t>s(till)</t>
  </si>
  <si>
    <t>A(c-till)</t>
  </si>
  <si>
    <t>N(A-till)</t>
  </si>
  <si>
    <t>A(c-grade)</t>
  </si>
  <si>
    <t>B(g)</t>
  </si>
  <si>
    <t>N(A-grade)</t>
  </si>
  <si>
    <t>A(c-doz)</t>
  </si>
  <si>
    <t>N(A-doz)</t>
  </si>
  <si>
    <t>Site-Specific</t>
  </si>
  <si>
    <t>Calculated &amp; Site-Specific</t>
  </si>
  <si>
    <t>A(c )</t>
  </si>
  <si>
    <t>U(m)</t>
  </si>
  <si>
    <t>U(t)</t>
  </si>
  <si>
    <t>F(x)</t>
  </si>
  <si>
    <t>1-exp(-λt(cw))</t>
  </si>
  <si>
    <t>SF(s)</t>
  </si>
  <si>
    <t>SF(i)</t>
  </si>
  <si>
    <t>SF(ext-sv)</t>
  </si>
  <si>
    <t>Exposure to Unpaved Roads</t>
  </si>
  <si>
    <t>Exposure to Other than Unpaved Roads</t>
  </si>
  <si>
    <t>B(d)</t>
  </si>
  <si>
    <t>With Halflife Decay</t>
  </si>
  <si>
    <t>Without Halflife Decay</t>
  </si>
  <si>
    <t>SF(sub)</t>
  </si>
  <si>
    <t>SF(ext-1cm)</t>
  </si>
  <si>
    <t>SF(ext-5cm)</t>
  </si>
  <si>
    <t>SF(ext-15cm)</t>
  </si>
  <si>
    <t>SF(ext-gp)</t>
  </si>
  <si>
    <t>ACF(ext-1cm)</t>
  </si>
  <si>
    <t>ACF(ext-5cm)</t>
  </si>
  <si>
    <t>ACF(ext-15cm)</t>
  </si>
  <si>
    <t>ACF(ext-gp)</t>
  </si>
  <si>
    <t>GSF(o)@0cm</t>
  </si>
  <si>
    <t>Infinite Depth</t>
  </si>
  <si>
    <t>1 cm</t>
  </si>
  <si>
    <t>5 cm</t>
  </si>
  <si>
    <t>15 cm</t>
  </si>
  <si>
    <t>Dust</t>
  </si>
  <si>
    <r>
      <t>Cover Layer Thickness = 0cm ; Area = 1m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</si>
  <si>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Cover Layer Thickness = 0cm ; Area = 2m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</si>
  <si>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Cover Layer Thickness = 0cm ; Area = 5m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</si>
  <si>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External Exposure</t>
  </si>
  <si>
    <t>Type</t>
  </si>
  <si>
    <t>Ground Plane</t>
  </si>
  <si>
    <t>Soil Volume</t>
  </si>
  <si>
    <t>1cm</t>
  </si>
  <si>
    <t>5cm</t>
  </si>
  <si>
    <t>15cm</t>
  </si>
  <si>
    <t>SF(imm)</t>
  </si>
  <si>
    <t>M</t>
  </si>
  <si>
    <t>Ground Plane, Area Correction Factor</t>
  </si>
  <si>
    <t>1m^2</t>
  </si>
  <si>
    <t>2m^2</t>
  </si>
  <si>
    <t>5m^2</t>
  </si>
  <si>
    <t>10m^2</t>
  </si>
  <si>
    <t>20m^2</t>
  </si>
  <si>
    <t>50m^2</t>
  </si>
  <si>
    <t>100m^2</t>
  </si>
  <si>
    <t>200m^2</t>
  </si>
  <si>
    <t>500m^2</t>
  </si>
  <si>
    <t>1000m^2</t>
  </si>
  <si>
    <t>2000m^2</t>
  </si>
  <si>
    <t>5000m^2</t>
  </si>
  <si>
    <t>10000m^2</t>
  </si>
  <si>
    <t>20000m^2</t>
  </si>
  <si>
    <t>50000m^2</t>
  </si>
  <si>
    <t>100000m^2</t>
  </si>
  <si>
    <t>Infinite</t>
  </si>
  <si>
    <t>SF(w)</t>
  </si>
  <si>
    <t>SF(f)</t>
  </si>
  <si>
    <t>Soil Worker</t>
  </si>
  <si>
    <t>Form</t>
  </si>
  <si>
    <t>F</t>
  </si>
  <si>
    <t>S</t>
  </si>
  <si>
    <t>G(elemental)</t>
  </si>
  <si>
    <t>G(organic)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</si>
</sst>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%"/>
    <numFmt numFmtId="166" formatCode="0.000000"/>
    <numFmt numFmtId="167" formatCode="0.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3" fillId="0" borderId="7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1" fontId="3" fillId="0" borderId="1" xfId="0" applyNumberFormat="1" applyFont="1" applyBorder="1" applyAlignment="1">
      <alignment horizontal="center" vertical="center"/>
    </xf>
    <xf numFmtId="11" fontId="3" fillId="0" borderId="1" xfId="0" applyNumberFormat="1" applyFont="1" applyBorder="1"/>
    <xf numFmtId="0" fontId="0" fillId="0" borderId="1" xfId="0" applyFont="1" applyBorder="1"/>
    <xf numFmtId="164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8" borderId="1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18" xfId="0" applyBorder="1"/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9" fontId="3" fillId="5" borderId="19" xfId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9" fontId="3" fillId="9" borderId="19" xfId="1" applyFont="1" applyFill="1" applyBorder="1" applyAlignment="1">
      <alignment horizontal="center" vertical="center"/>
    </xf>
    <xf numFmtId="11" fontId="3" fillId="0" borderId="4" xfId="0" applyNumberFormat="1" applyFont="1" applyBorder="1" applyAlignment="1">
      <alignment horizontal="center" vertical="center"/>
    </xf>
    <xf numFmtId="11" fontId="3" fillId="0" borderId="5" xfId="0" applyNumberFormat="1" applyFont="1" applyBorder="1" applyAlignment="1">
      <alignment horizontal="center" vertical="center"/>
    </xf>
    <xf numFmtId="11" fontId="3" fillId="0" borderId="6" xfId="0" applyNumberFormat="1" applyFont="1" applyBorder="1" applyAlignment="1">
      <alignment horizontal="center" vertical="center"/>
    </xf>
    <xf numFmtId="11" fontId="8" fillId="10" borderId="4" xfId="0" applyNumberFormat="1" applyFont="1" applyFill="1" applyBorder="1" applyAlignment="1">
      <alignment horizontal="center" vertical="center"/>
    </xf>
    <xf numFmtId="11" fontId="8" fillId="10" borderId="1" xfId="0" applyNumberFormat="1" applyFont="1" applyFill="1" applyBorder="1" applyAlignment="1">
      <alignment horizontal="center" vertical="center"/>
    </xf>
    <xf numFmtId="11" fontId="8" fillId="10" borderId="7" xfId="0" applyNumberFormat="1" applyFont="1" applyFill="1" applyBorder="1" applyAlignment="1">
      <alignment horizontal="center" vertical="center"/>
    </xf>
    <xf numFmtId="11" fontId="3" fillId="0" borderId="4" xfId="0" applyNumberFormat="1" applyFont="1" applyBorder="1"/>
    <xf numFmtId="165" fontId="3" fillId="0" borderId="5" xfId="0" applyNumberFormat="1" applyFont="1" applyBorder="1"/>
    <xf numFmtId="165" fontId="3" fillId="0" borderId="6" xfId="0" applyNumberFormat="1" applyFont="1" applyBorder="1"/>
    <xf numFmtId="11" fontId="3" fillId="0" borderId="7" xfId="0" applyNumberFormat="1" applyFont="1" applyBorder="1"/>
    <xf numFmtId="165" fontId="3" fillId="0" borderId="8" xfId="0" applyNumberFormat="1" applyFont="1" applyBorder="1"/>
    <xf numFmtId="11" fontId="3" fillId="3" borderId="4" xfId="0" applyNumberFormat="1" applyFont="1" applyFill="1" applyBorder="1"/>
    <xf numFmtId="165" fontId="3" fillId="3" borderId="5" xfId="0" applyNumberFormat="1" applyFont="1" applyFill="1" applyBorder="1"/>
    <xf numFmtId="11" fontId="3" fillId="3" borderId="1" xfId="0" applyNumberFormat="1" applyFont="1" applyFill="1" applyBorder="1"/>
    <xf numFmtId="165" fontId="3" fillId="3" borderId="6" xfId="0" applyNumberFormat="1" applyFont="1" applyFill="1" applyBorder="1"/>
    <xf numFmtId="11" fontId="3" fillId="0" borderId="24" xfId="0" applyNumberFormat="1" applyFont="1" applyBorder="1"/>
    <xf numFmtId="11" fontId="3" fillId="0" borderId="25" xfId="0" applyNumberFormat="1" applyFont="1" applyBorder="1"/>
    <xf numFmtId="11" fontId="3" fillId="0" borderId="5" xfId="0" applyNumberFormat="1" applyFont="1" applyBorder="1"/>
    <xf numFmtId="11" fontId="3" fillId="0" borderId="26" xfId="0" applyNumberFormat="1" applyFont="1" applyBorder="1"/>
    <xf numFmtId="11" fontId="3" fillId="0" borderId="27" xfId="0" applyNumberFormat="1" applyFont="1" applyBorder="1"/>
    <xf numFmtId="11" fontId="3" fillId="0" borderId="6" xfId="0" applyNumberFormat="1" applyFont="1" applyBorder="1"/>
    <xf numFmtId="11" fontId="3" fillId="10" borderId="4" xfId="0" applyNumberFormat="1" applyFont="1" applyFill="1" applyBorder="1"/>
    <xf numFmtId="11" fontId="3" fillId="10" borderId="1" xfId="0" applyNumberFormat="1" applyFont="1" applyFill="1" applyBorder="1"/>
    <xf numFmtId="165" fontId="3" fillId="0" borderId="5" xfId="1" applyNumberFormat="1" applyFont="1" applyBorder="1"/>
    <xf numFmtId="165" fontId="3" fillId="0" borderId="6" xfId="1" applyNumberFormat="1" applyFont="1" applyBorder="1"/>
    <xf numFmtId="165" fontId="3" fillId="0" borderId="8" xfId="1" applyNumberFormat="1" applyFont="1" applyBorder="1"/>
    <xf numFmtId="11" fontId="3" fillId="0" borderId="3" xfId="0" applyNumberFormat="1" applyFont="1" applyBorder="1"/>
    <xf numFmtId="165" fontId="3" fillId="0" borderId="32" xfId="1" applyNumberFormat="1" applyFont="1" applyBorder="1"/>
    <xf numFmtId="165" fontId="3" fillId="10" borderId="6" xfId="1" applyNumberFormat="1" applyFont="1" applyFill="1" applyBorder="1"/>
    <xf numFmtId="0" fontId="0" fillId="0" borderId="34" xfId="0" applyBorder="1"/>
    <xf numFmtId="0" fontId="0" fillId="0" borderId="6" xfId="0" applyBorder="1"/>
    <xf numFmtId="0" fontId="0" fillId="0" borderId="8" xfId="0" applyBorder="1"/>
    <xf numFmtId="0" fontId="0" fillId="0" borderId="14" xfId="0" applyBorder="1"/>
    <xf numFmtId="0" fontId="0" fillId="0" borderId="40" xfId="0" applyBorder="1"/>
    <xf numFmtId="0" fontId="0" fillId="0" borderId="39" xfId="0" applyBorder="1"/>
    <xf numFmtId="9" fontId="3" fillId="0" borderId="41" xfId="1" applyFont="1" applyBorder="1" applyAlignment="1">
      <alignment horizontal="center" vertical="center"/>
    </xf>
    <xf numFmtId="11" fontId="3" fillId="0" borderId="43" xfId="0" applyNumberFormat="1" applyFont="1" applyBorder="1"/>
    <xf numFmtId="165" fontId="3" fillId="0" borderId="42" xfId="1" applyNumberFormat="1" applyFont="1" applyBorder="1"/>
    <xf numFmtId="0" fontId="3" fillId="5" borderId="14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11" fontId="9" fillId="7" borderId="8" xfId="0" applyNumberFormat="1" applyFont="1" applyFill="1" applyBorder="1" applyAlignment="1">
      <alignment horizontal="center" vertical="center"/>
    </xf>
    <xf numFmtId="11" fontId="10" fillId="2" borderId="7" xfId="0" applyNumberFormat="1" applyFont="1" applyFill="1" applyBorder="1" applyAlignment="1">
      <alignment horizontal="center" vertical="center"/>
    </xf>
    <xf numFmtId="11" fontId="8" fillId="10" borderId="7" xfId="0" applyNumberFormat="1" applyFont="1" applyFill="1" applyBorder="1"/>
    <xf numFmtId="11" fontId="9" fillId="2" borderId="29" xfId="0" applyNumberFormat="1" applyFont="1" applyFill="1" applyBorder="1"/>
    <xf numFmtId="11" fontId="9" fillId="2" borderId="7" xfId="0" applyNumberFormat="1" applyFont="1" applyFill="1" applyBorder="1"/>
    <xf numFmtId="11" fontId="9" fillId="7" borderId="28" xfId="0" applyNumberFormat="1" applyFont="1" applyFill="1" applyBorder="1"/>
    <xf numFmtId="11" fontId="9" fillId="7" borderId="8" xfId="0" applyNumberFormat="1" applyFont="1" applyFill="1" applyBorder="1"/>
    <xf numFmtId="11" fontId="9" fillId="10" borderId="7" xfId="0" applyNumberFormat="1" applyFont="1" applyFill="1" applyBorder="1"/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0" xfId="0" applyFont="1" applyBorder="1"/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1" fontId="3" fillId="0" borderId="8" xfId="0" applyNumberFormat="1" applyFont="1" applyBorder="1"/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30" xfId="0" applyBorder="1"/>
    <xf numFmtId="11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11" fontId="3" fillId="0" borderId="10" xfId="0" applyNumberFormat="1" applyFont="1" applyBorder="1"/>
    <xf numFmtId="11" fontId="3" fillId="0" borderId="13" xfId="0" applyNumberFormat="1" applyFont="1" applyBorder="1"/>
    <xf numFmtId="0" fontId="3" fillId="0" borderId="30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0" fillId="0" borderId="44" xfId="0" applyBorder="1"/>
    <xf numFmtId="0" fontId="3" fillId="5" borderId="44" xfId="0" applyFont="1" applyFill="1" applyBorder="1" applyAlignment="1">
      <alignment horizontal="center" vertical="center"/>
    </xf>
    <xf numFmtId="9" fontId="3" fillId="5" borderId="41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1" fontId="8" fillId="0" borderId="4" xfId="0" applyNumberFormat="1" applyFont="1" applyBorder="1"/>
    <xf numFmtId="165" fontId="8" fillId="0" borderId="5" xfId="1" applyNumberFormat="1" applyFont="1" applyBorder="1"/>
    <xf numFmtId="11" fontId="8" fillId="10" borderId="1" xfId="0" applyNumberFormat="1" applyFont="1" applyFill="1" applyBorder="1"/>
    <xf numFmtId="165" fontId="8" fillId="10" borderId="6" xfId="1" applyNumberFormat="1" applyFont="1" applyFill="1" applyBorder="1"/>
    <xf numFmtId="11" fontId="8" fillId="0" borderId="1" xfId="0" applyNumberFormat="1" applyFont="1" applyBorder="1"/>
    <xf numFmtId="11" fontId="8" fillId="0" borderId="7" xfId="0" applyNumberFormat="1" applyFont="1" applyBorder="1"/>
    <xf numFmtId="165" fontId="8" fillId="0" borderId="8" xfId="1" applyNumberFormat="1" applyFont="1" applyBorder="1"/>
    <xf numFmtId="11" fontId="8" fillId="10" borderId="4" xfId="0" applyNumberFormat="1" applyFont="1" applyFill="1" applyBorder="1"/>
    <xf numFmtId="165" fontId="8" fillId="10" borderId="5" xfId="1" applyNumberFormat="1" applyFont="1" applyFill="1" applyBorder="1"/>
    <xf numFmtId="165" fontId="8" fillId="10" borderId="8" xfId="1" applyNumberFormat="1" applyFont="1" applyFill="1" applyBorder="1"/>
    <xf numFmtId="0" fontId="8" fillId="0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/>
    </xf>
    <xf numFmtId="9" fontId="3" fillId="9" borderId="41" xfId="1" applyFont="1" applyFill="1" applyBorder="1" applyAlignment="1">
      <alignment horizontal="center" vertical="center"/>
    </xf>
    <xf numFmtId="0" fontId="0" fillId="0" borderId="0" xfId="0" applyBorder="1"/>
    <xf numFmtId="11" fontId="3" fillId="0" borderId="0" xfId="0" applyNumberFormat="1" applyFont="1" applyFill="1" applyBorder="1"/>
    <xf numFmtId="11" fontId="0" fillId="0" borderId="0" xfId="0" applyNumberFormat="1" applyFill="1" applyBorder="1"/>
    <xf numFmtId="11" fontId="2" fillId="0" borderId="0" xfId="0" applyNumberFormat="1" applyFont="1" applyFill="1" applyBorder="1"/>
    <xf numFmtId="0" fontId="8" fillId="0" borderId="7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3" fillId="11" borderId="44" xfId="0" applyFont="1" applyFill="1" applyBorder="1" applyAlignment="1">
      <alignment horizontal="center" vertical="center"/>
    </xf>
    <xf numFmtId="9" fontId="3" fillId="11" borderId="41" xfId="1" applyFont="1" applyFill="1" applyBorder="1" applyAlignment="1">
      <alignment horizontal="center" vertical="center"/>
    </xf>
    <xf numFmtId="11" fontId="10" fillId="2" borderId="7" xfId="0" applyNumberFormat="1" applyFont="1" applyFill="1" applyBorder="1"/>
    <xf numFmtId="11" fontId="10" fillId="2" borderId="8" xfId="0" applyNumberFormat="1" applyFont="1" applyFill="1" applyBorder="1"/>
    <xf numFmtId="11" fontId="3" fillId="10" borderId="5" xfId="0" applyNumberFormat="1" applyFont="1" applyFill="1" applyBorder="1"/>
    <xf numFmtId="11" fontId="3" fillId="10" borderId="6" xfId="0" applyNumberFormat="1" applyFont="1" applyFill="1" applyBorder="1"/>
    <xf numFmtId="11" fontId="10" fillId="10" borderId="7" xfId="0" applyNumberFormat="1" applyFont="1" applyFill="1" applyBorder="1"/>
    <xf numFmtId="11" fontId="10" fillId="10" borderId="8" xfId="0" applyNumberFormat="1" applyFont="1" applyFill="1" applyBorder="1"/>
    <xf numFmtId="11" fontId="8" fillId="0" borderId="5" xfId="0" applyNumberFormat="1" applyFont="1" applyBorder="1"/>
    <xf numFmtId="11" fontId="8" fillId="0" borderId="6" xfId="0" applyNumberFormat="1" applyFont="1" applyBorder="1"/>
    <xf numFmtId="11" fontId="9" fillId="2" borderId="8" xfId="0" applyNumberFormat="1" applyFont="1" applyFill="1" applyBorder="1"/>
    <xf numFmtId="49" fontId="10" fillId="0" borderId="0" xfId="0" applyNumberFormat="1" applyFont="1" applyFill="1" applyBorder="1" applyAlignment="1">
      <alignment horizontal="center"/>
    </xf>
    <xf numFmtId="0" fontId="3" fillId="0" borderId="30" xfId="0" applyFont="1" applyBorder="1"/>
    <xf numFmtId="0" fontId="3" fillId="0" borderId="9" xfId="0" applyFont="1" applyBorder="1"/>
    <xf numFmtId="0" fontId="0" fillId="8" borderId="47" xfId="0" applyFill="1" applyBorder="1"/>
    <xf numFmtId="0" fontId="3" fillId="8" borderId="0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0" fillId="0" borderId="47" xfId="0" applyBorder="1"/>
    <xf numFmtId="0" fontId="0" fillId="0" borderId="0" xfId="0" applyBorder="1" applyAlignment="1">
      <alignment horizontal="center" vertical="center"/>
    </xf>
    <xf numFmtId="11" fontId="0" fillId="0" borderId="0" xfId="0" applyNumberFormat="1" applyBorder="1"/>
    <xf numFmtId="11" fontId="0" fillId="0" borderId="39" xfId="0" applyNumberFormat="1" applyBorder="1"/>
    <xf numFmtId="0" fontId="0" fillId="12" borderId="47" xfId="0" applyFill="1" applyBorder="1"/>
    <xf numFmtId="0" fontId="3" fillId="12" borderId="0" xfId="0" applyFont="1" applyFill="1" applyBorder="1" applyAlignment="1">
      <alignment horizontal="center" vertical="center"/>
    </xf>
    <xf numFmtId="0" fontId="3" fillId="12" borderId="39" xfId="0" applyFont="1" applyFill="1" applyBorder="1" applyAlignment="1">
      <alignment horizontal="center" vertical="center"/>
    </xf>
    <xf numFmtId="0" fontId="0" fillId="0" borderId="48" xfId="0" applyBorder="1"/>
    <xf numFmtId="0" fontId="0" fillId="0" borderId="49" xfId="0" applyBorder="1" applyAlignment="1">
      <alignment horizontal="center" vertical="center"/>
    </xf>
    <xf numFmtId="11" fontId="0" fillId="0" borderId="49" xfId="0" applyNumberFormat="1" applyBorder="1"/>
    <xf numFmtId="11" fontId="0" fillId="0" borderId="50" xfId="0" applyNumberFormat="1" applyBorder="1"/>
    <xf numFmtId="0" fontId="0" fillId="9" borderId="47" xfId="0" applyFill="1" applyBorder="1"/>
    <xf numFmtId="0" fontId="3" fillId="9" borderId="0" xfId="0" applyFont="1" applyFill="1" applyBorder="1" applyAlignment="1">
      <alignment horizontal="center" vertical="center"/>
    </xf>
    <xf numFmtId="0" fontId="3" fillId="9" borderId="39" xfId="0" applyFont="1" applyFill="1" applyBorder="1" applyAlignment="1">
      <alignment horizontal="center" vertical="center"/>
    </xf>
    <xf numFmtId="0" fontId="0" fillId="13" borderId="47" xfId="0" applyFill="1" applyBorder="1"/>
    <xf numFmtId="0" fontId="3" fillId="13" borderId="0" xfId="0" applyFont="1" applyFill="1" applyBorder="1" applyAlignment="1">
      <alignment horizontal="center" vertical="center"/>
    </xf>
    <xf numFmtId="0" fontId="3" fillId="13" borderId="39" xfId="0" applyFont="1" applyFill="1" applyBorder="1" applyAlignment="1">
      <alignment horizontal="center" vertical="center"/>
    </xf>
    <xf numFmtId="0" fontId="0" fillId="2" borderId="47" xfId="0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11" fontId="0" fillId="0" borderId="39" xfId="0" applyNumberFormat="1" applyFont="1" applyFill="1" applyBorder="1" applyAlignment="1">
      <alignment horizontal="right" vertical="center"/>
    </xf>
    <xf numFmtId="11" fontId="0" fillId="0" borderId="39" xfId="0" applyNumberFormat="1" applyBorder="1" applyAlignment="1">
      <alignment horizontal="righ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10" fillId="5" borderId="25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9" borderId="38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9" borderId="32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 textRotation="90"/>
    </xf>
    <xf numFmtId="0" fontId="3" fillId="0" borderId="27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/>
    </xf>
    <xf numFmtId="0" fontId="3" fillId="0" borderId="33" xfId="0" applyFont="1" applyBorder="1" applyAlignment="1">
      <alignment horizontal="center" vertical="center" textRotation="90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10" fillId="9" borderId="20" xfId="0" applyNumberFormat="1" applyFont="1" applyFill="1" applyBorder="1" applyAlignment="1">
      <alignment horizontal="center"/>
    </xf>
    <xf numFmtId="49" fontId="10" fillId="9" borderId="16" xfId="0" applyNumberFormat="1" applyFont="1" applyFill="1" applyBorder="1" applyAlignment="1">
      <alignment horizontal="center"/>
    </xf>
    <xf numFmtId="49" fontId="10" fillId="9" borderId="17" xfId="0" applyNumberFormat="1" applyFont="1" applyFill="1" applyBorder="1" applyAlignment="1">
      <alignment horizontal="center"/>
    </xf>
    <xf numFmtId="49" fontId="10" fillId="5" borderId="20" xfId="0" applyNumberFormat="1" applyFont="1" applyFill="1" applyBorder="1" applyAlignment="1">
      <alignment horizontal="center"/>
    </xf>
    <xf numFmtId="49" fontId="10" fillId="5" borderId="16" xfId="0" applyNumberFormat="1" applyFont="1" applyFill="1" applyBorder="1" applyAlignment="1">
      <alignment horizontal="center"/>
    </xf>
    <xf numFmtId="49" fontId="10" fillId="5" borderId="17" xfId="0" applyNumberFormat="1" applyFont="1" applyFill="1" applyBorder="1" applyAlignment="1">
      <alignment horizontal="center"/>
    </xf>
    <xf numFmtId="49" fontId="10" fillId="11" borderId="20" xfId="0" applyNumberFormat="1" applyFont="1" applyFill="1" applyBorder="1" applyAlignment="1">
      <alignment horizontal="center"/>
    </xf>
    <xf numFmtId="49" fontId="10" fillId="11" borderId="16" xfId="0" applyNumberFormat="1" applyFont="1" applyFill="1" applyBorder="1" applyAlignment="1">
      <alignment horizontal="center"/>
    </xf>
    <xf numFmtId="49" fontId="10" fillId="11" borderId="17" xfId="0" applyNumberFormat="1" applyFont="1" applyFill="1" applyBorder="1" applyAlignment="1">
      <alignment horizontal="center"/>
    </xf>
    <xf numFmtId="0" fontId="0" fillId="8" borderId="45" xfId="0" applyFill="1" applyBorder="1" applyAlignment="1">
      <alignment horizontal="center"/>
    </xf>
    <xf numFmtId="0" fontId="0" fillId="8" borderId="46" xfId="0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0" fontId="0" fillId="12" borderId="45" xfId="0" applyFill="1" applyBorder="1" applyAlignment="1">
      <alignment horizontal="center"/>
    </xf>
    <xf numFmtId="0" fontId="0" fillId="12" borderId="46" xfId="0" applyFill="1" applyBorder="1" applyAlignment="1">
      <alignment horizontal="center"/>
    </xf>
    <xf numFmtId="0" fontId="0" fillId="12" borderId="40" xfId="0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0" fillId="9" borderId="40" xfId="0" applyFill="1" applyBorder="1" applyAlignment="1">
      <alignment horizontal="center"/>
    </xf>
    <xf numFmtId="0" fontId="0" fillId="13" borderId="45" xfId="0" applyFill="1" applyBorder="1" applyAlignment="1">
      <alignment horizontal="center"/>
    </xf>
    <xf numFmtId="0" fontId="0" fillId="13" borderId="46" xfId="0" applyFill="1" applyBorder="1" applyAlignment="1">
      <alignment horizontal="center"/>
    </xf>
    <xf numFmtId="0" fontId="0" fillId="13" borderId="40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40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0"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9524</xdr:rowOff>
    </xdr:from>
    <xdr:to>
      <xdr:col>32</xdr:col>
      <xdr:colOff>533400</xdr:colOff>
      <xdr:row>19</xdr:row>
      <xdr:rowOff>190500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9315450" y="200024"/>
              <a:ext cx="10896600" cy="3676651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 b="1" u="sng"/>
                <a:t>Incidental ingestion</a:t>
              </a:r>
              <a:r>
                <a:rPr lang="en-US" sz="1100" b="1" u="sng" baseline="0"/>
                <a:t> of soil (unpaved roads)</a:t>
              </a: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soil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ing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TR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λ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yr</m:t>
                                </m:r>
                              </m:den>
                            </m:f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  <a:ea typeface="Cambria Math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  <a:ea typeface="Cambria Math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s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risk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pCi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1 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IR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S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330 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mg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g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1000 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mg</m:t>
                                </m:r>
                              </m:den>
                            </m:f>
                          </m:e>
                        </m:d>
                      </m:den>
                    </m:f>
                  </m:oMath>
                </m:oMathPara>
              </a14:m>
              <a:endParaRPr lang="en-US" sz="1100">
                <a:latin typeface="+mn-lt"/>
              </a:endParaRPr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Inhalation of particulates</a:t>
              </a:r>
              <a:r>
                <a:rPr lang="en-US" sz="1100" b="1" u="sng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emitted from soil (unpaved roads)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soil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inh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TR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λ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i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risk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pCi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8 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hrs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24 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hrs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IR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A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60 </m:t>
                                </m:r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3</m:t>
                                    </m:r>
                                  </m:sup>
                                </m:sSup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PE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sc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sSup>
                                          <m:sSup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m</m:t>
                                            </m:r>
                                          </m:e>
                                          <m:sup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3</m:t>
                                            </m:r>
                                          </m:sup>
                                        </m:sSup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kg</m:t>
                                        </m:r>
                                      </m:den>
                                    </m:f>
                                  </m:e>
                                </m:d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d>
                                  <m:dPr>
                                    <m:begChr m:val=""/>
                                    <m:endChr m:val="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1000 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g</m:t>
                                    </m:r>
                                  </m:e>
                                </m:d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kg</m:t>
                                </m:r>
                              </m:den>
                            </m:f>
                          </m:e>
                        </m:d>
                      </m:den>
                    </m:f>
                  </m:oMath>
                </m:oMathPara>
              </a14:m>
              <a:endParaRPr lang="en-US" sz="1100">
                <a:latin typeface="+mn-lt"/>
              </a:endParaRPr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External exposure to ionizing radiation (unpaved roads)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soil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ext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TR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λ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ext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sv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risk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/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pCi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/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g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365 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8 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hrs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24 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hrs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o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1.0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AC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ext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sv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>
                <a:latin typeface="+mn-lt"/>
              </a:endParaRPr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Total (unpaved roads)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soil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tot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PR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G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soil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ing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PR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G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soil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inh</m:t>
                                </m:r>
                              </m:sub>
                            </m:sSub>
                          </m:den>
                        </m:f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PR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G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soil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ext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en-US" sz="1100"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9315450" y="200024"/>
              <a:ext cx="10896600" cy="3676651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 b="1" u="sng"/>
                <a:t>Incidental ingestion</a:t>
              </a:r>
              <a:r>
                <a:rPr lang="en-US" sz="1100" b="1" u="sng" baseline="0"/>
                <a:t> of soil (unpaved roads)</a:t>
              </a:r>
            </a:p>
            <a:p>
              <a:pPr/>
              <a:r>
                <a:rPr lang="en-US" sz="1100" b="0" i="0">
                  <a:latin typeface="Cambria Math"/>
                </a:rPr>
                <a:t>"PR</a:t>
              </a:r>
              <a:r>
                <a:rPr lang="en-US" sz="1100" b="0" i="0">
                  <a:latin typeface="+mn-lt"/>
                </a:rPr>
                <a:t>" "G" _"cw-soil-ing"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("pCi</a:t>
              </a:r>
              <a:r>
                <a:rPr lang="en-US" sz="1100" b="0" i="0">
                  <a:latin typeface="Cambria Math"/>
                </a:rPr>
                <a:t>" ∕</a:t>
              </a:r>
              <a:r>
                <a:rPr lang="en-US" sz="1100" b="0" i="0">
                  <a:latin typeface="+mn-lt"/>
                </a:rPr>
                <a:t>"g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)</a:t>
              </a:r>
              <a:r>
                <a:rPr lang="en-US" sz="1100" b="0" i="0">
                  <a:latin typeface="Cambria Math"/>
                </a:rPr>
                <a:t>"=</a:t>
              </a:r>
              <a:r>
                <a:rPr lang="en-US" sz="1100" b="0" i="0">
                  <a:latin typeface="+mn-lt"/>
                  <a:ea typeface="Cambria Math"/>
                </a:rPr>
                <a:t>" </a:t>
              </a:r>
              <a:r>
                <a:rPr lang="en-US" sz="1100" b="0" i="0">
                  <a:latin typeface="+mn-lt"/>
                </a:rPr>
                <a:t> </a:t>
              </a:r>
              <a:r>
                <a:rPr lang="en-US" sz="1100" b="0" i="0">
                  <a:latin typeface="+mn-lt"/>
                  <a:ea typeface="Cambria Math"/>
                </a:rPr>
                <a:t>("</a:t>
              </a:r>
              <a:r>
                <a:rPr lang="en-US" sz="1100" b="0" i="0">
                  <a:latin typeface="+mn-lt"/>
                </a:rPr>
                <a:t>TR x " "t" _"cw"  " x </a:t>
              </a:r>
              <a:r>
                <a:rPr lang="en-US" sz="1100" b="0" i="0">
                  <a:latin typeface="+mn-lt"/>
                  <a:ea typeface="Cambria Math"/>
                </a:rPr>
                <a:t>λ " ("1" /"yr" ))/(("1-" "e" ^("-λ" "t" _"cw"  ) )" x S" "F" _"s"  " " ("risk" /"pCi" )" x E" "F" _"cw"  " " ("E" "W" _"cw"   "50 weeks" /"yr"  " x D" "W" _"cw"   "5 days" /"week" )" x E" "D" _"cw"  " " ("1 yr" )" x IR" "S" _"cw"  " " ("330 mg" /"day" )" x " ("g" /"1000 mg" ) )</a:t>
              </a:r>
              <a:endParaRPr lang="en-US" sz="1100">
                <a:latin typeface="+mn-lt"/>
              </a:endParaRPr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Inhalation of particulates</a:t>
              </a:r>
              <a:r>
                <a:rPr lang="en-US" sz="1100" b="1" u="sng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emitted from soil (unpaved roads)</a:t>
              </a:r>
              <a:endParaRPr lang="en-US">
                <a:effectLst/>
              </a:endParaRPr>
            </a:p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"G" _"cw−soil−inh"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∕"g"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("TR x " "t" _"cw"  " x λ " ("1" /"yr" ))/(("1−" "e" ^("−λ" "t" _"cw"  ) )" x S" "F" _"i"  " " ("risk" /"pCi" )" x E" "F" _"cw"  " " ("E" "W" _"cw"   "50 weeks" /"yr"  " x D" "W" _"cw"   "5 days" /"week" )" x E" "D" _"cw"  " " ("1 yr" )" x E" "T" _"cw"  " " ("8 hrs" /"day" )" x " ("1 day" /"24 hrs" )" x IR" "A" _"cw"  " " (("60 " "m" ^"3" )/"day" )" x " ("1" /("PE" "F" _"sc"  " " ("m" ^"3" /"kg" ) ))" x " (├ "1000 g" ┤/"kg" ) )</a:t>
              </a:r>
              <a:endParaRPr lang="en-US" sz="1100">
                <a:latin typeface="+mn-lt"/>
              </a:endParaRPr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External exposure to ionizing radiation (unpaved roads)</a:t>
              </a:r>
              <a:endParaRPr lang="en-US">
                <a:effectLst/>
              </a:endParaRPr>
            </a:p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"G" _"cw−soil−ext"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∕"g"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("TR x " "t" _"cw"  " x λ " ("1" /"yr" ))/(("1−" "e" ^("−λ" "t" _"cw"  ) )" x S" "F" _"ext−sv"  " " ("risk/yr" /"pCi/g" )" x E" "F" _"cw"  " " ("E" "W" _"cw"   "50 weeks" /"yr"  " x D" "W" _"cw"   "5 days" /"week" )" x " ("1 yr" /"365 days" )" x E" "D" _"cw"  " " ("1 yr" )" x E" "T" _"cw"  " " ("8 hrs" /"day" )" x " ("1 day" /"24 hrs" )" x GS" "F" _"o"  " " ("1.0" )" x AC" "F" _"ext−sv"  )</a:t>
              </a:r>
              <a:endParaRPr lang="en-US" sz="1100">
                <a:latin typeface="+mn-lt"/>
              </a:endParaRPr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Total (unpaved roads)</a:t>
              </a:r>
              <a:endParaRPr lang="en-US">
                <a:effectLst/>
              </a:endParaRPr>
            </a:p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"G" _"cw−soil−tot"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∕"g"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"1" /(├ "1" /("PR" "G" _"cw−soil−ing"  )┤"+"  "1" /("PR" "G" _"cw−soil−inh"  ) "+"  "1" /("PR" "G" _"cw−soil−ext"  ))</a:t>
              </a:r>
              <a:endParaRPr lang="en-US" sz="1100">
                <a:latin typeface="+mn-lt"/>
              </a:endParaRPr>
            </a:p>
          </xdr:txBody>
        </xdr:sp>
      </mc:Fallback>
    </mc:AlternateContent>
    <xdr:clientData/>
  </xdr:twoCellAnchor>
  <xdr:oneCellAnchor>
    <xdr:from>
      <xdr:col>14</xdr:col>
      <xdr:colOff>600076</xdr:colOff>
      <xdr:row>22</xdr:row>
      <xdr:rowOff>0</xdr:rowOff>
    </xdr:from>
    <xdr:ext cx="10896600" cy="36195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9305926" y="4267200"/>
              <a:ext cx="10896600" cy="3619500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1" u="sng"/>
                <a:t>Incidental ingestion</a:t>
              </a:r>
              <a:r>
                <a:rPr lang="en-US" sz="1100" b="1" u="sng" baseline="0"/>
                <a:t> of soil (other than unpaved roads)</a:t>
              </a: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soil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ing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sa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TR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λ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yr</m:t>
                                </m:r>
                              </m:den>
                            </m:f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  <a:ea typeface="Cambria Math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  <a:ea typeface="Cambria Math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s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risk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pCi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1 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IR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S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330 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mg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g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1000 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mg</m:t>
                                </m:r>
                              </m:den>
                            </m:f>
                          </m:e>
                        </m:d>
                      </m:den>
                    </m:f>
                  </m:oMath>
                </m:oMathPara>
              </a14:m>
              <a:endParaRPr lang="en-US" sz="1100">
                <a:latin typeface="+mn-lt"/>
              </a:endParaRPr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Inhalation of particulates</a:t>
              </a:r>
              <a:r>
                <a:rPr lang="en-US" sz="1100" b="1" u="sng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emitted from soil (other than unpaved roads)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soil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inh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sa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TR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λ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i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risk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pCi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8 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hrs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24 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hrs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IR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A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60 </m:t>
                                </m:r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3</m:t>
                                    </m:r>
                                  </m:sup>
                                </m:sSup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PE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′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sc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sSup>
                                          <m:sSup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m</m:t>
                                            </m:r>
                                          </m:e>
                                          <m:sup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3</m:t>
                                            </m:r>
                                          </m:sup>
                                        </m:sSup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kg</m:t>
                                        </m:r>
                                      </m:den>
                                    </m:f>
                                  </m:e>
                                </m:d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d>
                                  <m:dPr>
                                    <m:begChr m:val=""/>
                                    <m:endChr m:val="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1000 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g</m:t>
                                    </m:r>
                                  </m:e>
                                </m:d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kg</m:t>
                                </m:r>
                              </m:den>
                            </m:f>
                          </m:e>
                        </m:d>
                      </m:den>
                    </m:f>
                  </m:oMath>
                </m:oMathPara>
              </a14:m>
              <a:endParaRPr lang="en-US" sz="1100">
                <a:latin typeface="+mn-lt"/>
              </a:endParaRPr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External exposure to ionizing radiation (other than unpaved roads)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soil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ext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sa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TR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λ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ext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sv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risk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/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pCi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/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g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365 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8 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hrs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24 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hrs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o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1.0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AC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ext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sv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>
                <a:effectLst/>
              </a:endParaRPr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Total (other than unpaved roads)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soil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tot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sa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PR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G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soil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ing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sa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PR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G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soil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inh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sa</m:t>
                                </m:r>
                              </m:sub>
                            </m:sSub>
                          </m:den>
                        </m:f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PR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G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soil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ext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sa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en-US">
                <a:effectLst/>
              </a:endParaRPr>
            </a:p>
            <a:p>
              <a:endParaRPr lang="en-US" sz="1100">
                <a:latin typeface="+mn-lt"/>
              </a:endParaRPr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9305926" y="4267200"/>
              <a:ext cx="10896600" cy="3619500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1" u="sng"/>
                <a:t>Incidental ingestion</a:t>
              </a:r>
              <a:r>
                <a:rPr lang="en-US" sz="1100" b="1" u="sng" baseline="0"/>
                <a:t> of soil (other than unpaved roads)</a:t>
              </a:r>
            </a:p>
            <a:p>
              <a:pPr/>
              <a:r>
                <a:rPr lang="en-US" sz="1100" b="0" i="0">
                  <a:latin typeface="Cambria Math"/>
                </a:rPr>
                <a:t>"PR</a:t>
              </a:r>
              <a:r>
                <a:rPr lang="en-US" sz="1100" b="0" i="0">
                  <a:latin typeface="+mn-lt"/>
                </a:rPr>
                <a:t>" "G" _"cw-soil-ing-sa"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("pCi</a:t>
              </a:r>
              <a:r>
                <a:rPr lang="en-US" sz="1100" b="0" i="0">
                  <a:latin typeface="Cambria Math"/>
                </a:rPr>
                <a:t>" ∕</a:t>
              </a:r>
              <a:r>
                <a:rPr lang="en-US" sz="1100" b="0" i="0">
                  <a:latin typeface="+mn-lt"/>
                </a:rPr>
                <a:t>"g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)</a:t>
              </a:r>
              <a:r>
                <a:rPr lang="en-US" sz="1100" b="0" i="0">
                  <a:latin typeface="Cambria Math"/>
                </a:rPr>
                <a:t>"=</a:t>
              </a:r>
              <a:r>
                <a:rPr lang="en-US" sz="1100" b="0" i="0">
                  <a:latin typeface="+mn-lt"/>
                  <a:ea typeface="Cambria Math"/>
                </a:rPr>
                <a:t>" </a:t>
              </a:r>
              <a:r>
                <a:rPr lang="en-US" sz="1100" b="0" i="0">
                  <a:latin typeface="+mn-lt"/>
                </a:rPr>
                <a:t> </a:t>
              </a:r>
              <a:r>
                <a:rPr lang="en-US" sz="1100" b="0" i="0">
                  <a:latin typeface="+mn-lt"/>
                  <a:ea typeface="Cambria Math"/>
                </a:rPr>
                <a:t>("</a:t>
              </a:r>
              <a:r>
                <a:rPr lang="en-US" sz="1100" b="0" i="0">
                  <a:latin typeface="+mn-lt"/>
                </a:rPr>
                <a:t>TR x " "t" _"cw"  " x </a:t>
              </a:r>
              <a:r>
                <a:rPr lang="en-US" sz="1100" b="0" i="0">
                  <a:latin typeface="+mn-lt"/>
                  <a:ea typeface="Cambria Math"/>
                </a:rPr>
                <a:t>λ " ("1" /"yr" ))/(("1-" "e" ^("-λ" "t" _"cw"  ) )" x S" "F" _"s"  " " ("risk" /"pCi" )" x E" "F" _"cw"  " " ("E" "W" _"cw"   "50 weeks" /"yr"  " x D" "W" _"cw"   "5 days" /"week" )" x E" "D" _"cw"  " " ("1 yr" )" x IR" "S" _"cw"  " " ("330 mg" /"day" )" x " ("g" /"1000 mg" ) )</a:t>
              </a:r>
              <a:endParaRPr lang="en-US" sz="1100">
                <a:latin typeface="+mn-lt"/>
              </a:endParaRPr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Inhalation of particulates</a:t>
              </a:r>
              <a:r>
                <a:rPr lang="en-US" sz="1100" b="1" u="sng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emitted from soil (other than unpaved roads)</a:t>
              </a:r>
              <a:endParaRPr lang="en-US">
                <a:effectLst/>
              </a:endParaRPr>
            </a:p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"G" _"cw−soil−inh−sa"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∕"g"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("TR x " "t" _"cw"  " x λ " ("1" /"yr" ))/(("1−" "e" ^("−λ" "t" _"cw"  ) )" x S" "F" _"i"  " " ("risk" /"pCi" )" x E" "F" _"cw"  " " ("E" "W" _"cw"   "50 weeks" /"yr"  " x D" "W" _"cw"   "5 days" /"week" )" x E" "D" _"cw"  " " ("1 yr" )" x E" "T" _"cw"  " " ("8 hrs" /"day" )" x " ("1 day" /"24 hrs" )" x IR" "A" _"cw"  " " (("60 " "m" ^"3" )/"day" )" x " ("1" /("PE" 〖"F′" 〗_"sc"  " " ("m" ^"3" /"kg" ) ))" x " (├ "1000 g" ┤/"kg" ) )</a:t>
              </a:r>
              <a:endParaRPr lang="en-US" sz="1100">
                <a:latin typeface="+mn-lt"/>
              </a:endParaRPr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External exposure to ionizing radiation (other than unpaved roads)</a:t>
              </a:r>
              <a:endParaRPr lang="en-US">
                <a:effectLst/>
              </a:endParaRPr>
            </a:p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"G" _"cw−soil−ext−sa"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∕"g"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("TR x " "t" _"cw"  " x λ " ("1" /"yr" ))/(("1−" "e" ^("−λ" "t" _"cw"  ) )" x S" "F" _"ext−sv"  " " ("risk/yr" /"pCi/g" )" x E" "F" _"cw"  " " ("E" "W" _"cw"   "50 weeks" /"yr"  " x D" "W" _"cw"   "5 days" /"week" )" x " ("1 yr" /"365 days" )" x E" "D" _"cw"  " " ("1 yr" )" x E" "T" _"cw"  " " ("8 hrs" /"day" )" x " ("1 day" /"24 hrs" )" x GS" "F" _"o"  " " ("1.0" )" x AC" "F" _"ext−sv"  )</a:t>
              </a:r>
              <a:endParaRPr lang="en-US">
                <a:effectLst/>
              </a:endParaRPr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Total (other than unpaved roads)</a:t>
              </a:r>
              <a:endParaRPr lang="en-US">
                <a:effectLst/>
              </a:endParaRPr>
            </a:p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"G" _"cw−soil−tot−sa"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∕"g"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"1" /(├ "1" /("PR" "G" _"cw−soil−ing−sa"  )┤"+"  "1" /("PR" "G" _"cw−soil−inh−sa"  ) "+"  "1" /("PR" "G" _"cw−soil−ext−sa"  ))</a:t>
              </a:r>
              <a:endParaRPr lang="en-US">
                <a:effectLst/>
              </a:endParaRPr>
            </a:p>
            <a:p>
              <a:endParaRPr lang="en-US" sz="110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33</xdr:col>
      <xdr:colOff>0</xdr:colOff>
      <xdr:row>1</xdr:row>
      <xdr:rowOff>0</xdr:rowOff>
    </xdr:from>
    <xdr:ext cx="9696450" cy="44862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20288250" y="190500"/>
              <a:ext cx="9696450" cy="4486275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1" u="sng"/>
                <a:t>Particulate Emission Factor - Unpaved Roads</a:t>
              </a: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PE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F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sc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m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air</m:t>
                                </m:r>
                              </m:sub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3</m:t>
                                </m:r>
                              </m:sup>
                            </m:sSubSup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k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g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soil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Q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sr</m:t>
                            </m:r>
                          </m:sub>
                        </m:sSub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g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s</m:t>
                                </m:r>
                              </m:den>
                            </m:f>
                          </m:num>
                          <m:den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kg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3</m:t>
                                    </m:r>
                                  </m:sup>
                                </m:sSup>
                              </m:den>
                            </m:f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x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1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D</m:t>
                            </m:r>
                          </m:sub>
                        </m:sSub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T</m:t>
                            </m:r>
                            <m:d>
                              <m:d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s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 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A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R</m:t>
                                </m:r>
                              </m:sub>
                            </m:s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d>
                          </m:num>
                          <m:den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2.6 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 </m:t>
                                </m:r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en-US" sz="1100" b="0" i="1">
                                                <a:latin typeface="Cambria Math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Calibri" panose="020F0502020204030204" pitchFamily="34" charset="0"/>
                                              </a:rPr>
                                              <m:t>s</m:t>
                                            </m:r>
                                          </m:num>
                                          <m:den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Calibri" panose="020F0502020204030204" pitchFamily="34" charset="0"/>
                                              </a:rPr>
                                              <m:t>12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0.8</m:t>
                                    </m:r>
                                  </m:sup>
                                </m:s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 </m:t>
                                </m:r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en-US" sz="1100" b="0" i="1">
                                                <a:latin typeface="Cambria Math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Calibri" panose="020F0502020204030204" pitchFamily="34" charset="0"/>
                                              </a:rPr>
                                              <m:t>W</m:t>
                                            </m:r>
                                            <m:d>
                                              <m:dPr>
                                                <m:ctrlPr>
                                                  <a:rPr lang="en-US" sz="1100" b="0" i="1">
                                                    <a:latin typeface="Cambria Math"/>
                                                  </a:rPr>
                                                </m:ctrlPr>
                                              </m:dPr>
                                              <m:e>
                                                <m:r>
                                                  <m:rPr>
                                                    <m:nor/>
                                                  </m:rPr>
                                                  <a:rPr lang="en-US" sz="1100" b="0" i="0">
                                                    <a:latin typeface="Calibri" panose="020F0502020204030204" pitchFamily="34" charset="0"/>
                                                  </a:rPr>
                                                  <m:t>tons</m:t>
                                                </m:r>
                                              </m:e>
                                            </m:d>
                                          </m:num>
                                          <m:den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Calibri" panose="020F0502020204030204" pitchFamily="34" charset="0"/>
                                              </a:rPr>
                                              <m:t>3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0.4</m:t>
                                    </m:r>
                                  </m:sup>
                                </m:sSup>
                              </m:num>
                              <m:den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en-US" sz="1100" b="0" i="1">
                                                <a:latin typeface="Cambria Math"/>
                                              </a:rPr>
                                            </m:ctrlPr>
                                          </m:fPr>
                                          <m:num>
                                            <m:sSub>
                                              <m:sSubPr>
                                                <m:ctrlPr>
                                                  <a:rPr lang="en-US" sz="1100" b="0" i="1">
                                                    <a:latin typeface="Cambria Math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m:rPr>
                                                    <m:nor/>
                                                  </m:rPr>
                                                  <a:rPr lang="en-US" sz="1100" b="0" i="0">
                                                    <a:latin typeface="Calibri" panose="020F0502020204030204" pitchFamily="34" charset="0"/>
                                                  </a:rPr>
                                                  <m:t>M</m:t>
                                                </m:r>
                                              </m:e>
                                              <m:sub>
                                                <m:r>
                                                  <m:rPr>
                                                    <m:nor/>
                                                  </m:rPr>
                                                  <a:rPr lang="en-US" sz="1100" b="0" i="0">
                                                    <a:latin typeface="Calibri" panose="020F0502020204030204" pitchFamily="34" charset="0"/>
                                                  </a:rPr>
                                                  <m:t>dry</m:t>
                                                </m:r>
                                              </m:sub>
                                            </m:sSub>
                                          </m:num>
                                          <m:den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Calibri" panose="020F0502020204030204" pitchFamily="34" charset="0"/>
                                              </a:rPr>
                                              <m:t>0.2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0.3</m:t>
                                    </m:r>
                                  </m:sup>
                                </m:sSup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 </m:t>
                            </m:r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365 </m:t>
                                    </m:r>
                                    <m:d>
                                      <m:d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en-US" sz="1100" b="0" i="1">
                                                <a:latin typeface="Cambria Math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Calibri" panose="020F0502020204030204" pitchFamily="34" charset="0"/>
                                              </a:rPr>
                                              <m:t>days</m:t>
                                            </m:r>
                                          </m:num>
                                          <m:den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Calibri" panose="020F0502020204030204" pitchFamily="34" charset="0"/>
                                              </a:rPr>
                                              <m:t>year</m:t>
                                            </m:r>
                                          </m:den>
                                        </m:f>
                                      </m:e>
                                    </m:d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 −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p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 </m:t>
                                    </m:r>
                                    <m:d>
                                      <m:d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en-US" sz="1100" b="0" i="1">
                                                <a:latin typeface="Cambria Math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Calibri" panose="020F0502020204030204" pitchFamily="34" charset="0"/>
                                              </a:rPr>
                                              <m:t>days</m:t>
                                            </m:r>
                                          </m:num>
                                          <m:den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Calibri" panose="020F0502020204030204" pitchFamily="34" charset="0"/>
                                              </a:rPr>
                                              <m:t>year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</m:d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365 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Calibri" panose="020F0502020204030204" pitchFamily="34" charset="0"/>
                                          </a:rPr>
                                          <m:t>days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Calibri" panose="020F0502020204030204" pitchFamily="34" charset="0"/>
                                          </a:rPr>
                                          <m:t>year</m:t>
                                        </m:r>
                                      </m:den>
                                    </m:f>
                                  </m:e>
                                </m:d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 281.9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l-GR" sz="1100" b="0" i="0">
                                <a:latin typeface="Calibri" panose="020F0502020204030204" pitchFamily="34" charset="0"/>
                                <a:ea typeface="Cambria Math"/>
                              </a:rPr>
                              <m:t>Σ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  <a:ea typeface="Cambria Math"/>
                              </a:rPr>
                              <m:t>VKT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  <a:ea typeface="Cambria Math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  <a:ea typeface="Cambria Math"/>
                                  </a:rPr>
                                  <m:t>km</m:t>
                                </m:r>
                              </m:e>
                            </m:d>
                          </m:den>
                        </m:f>
                      </m:e>
                    </m:d>
                  </m:oMath>
                </m:oMathPara>
              </a14:m>
              <a:endParaRPr lang="en-US" sz="1100">
                <a:latin typeface="Calibri" panose="020F0502020204030204" pitchFamily="34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Q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sr</m:t>
                            </m:r>
                          </m:sub>
                        </m:sSub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g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s</m:t>
                                </m:r>
                              </m:den>
                            </m:f>
                          </m:num>
                          <m:den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kg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3</m:t>
                                    </m:r>
                                  </m:sup>
                                </m:sSup>
                              </m:den>
                            </m:f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A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func>
                      <m:funcPr>
                        <m:ctrlPr>
                          <a:rPr lang="en-US" sz="1100" b="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exp</m:t>
                        </m:r>
                      </m:fName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ln</m:t>
                                        </m:r>
                                        <m:sSub>
                                          <m:sSubPr>
                                            <m:ctrlPr>
                                              <a:rPr lang="en-US" sz="1100" b="0" i="1">
                                                <a:latin typeface="Cambria Math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+mn-lt"/>
                                              </a:rPr>
                                              <m:t>A</m:t>
                                            </m:r>
                                          </m:e>
                                          <m:sub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+mn-lt"/>
                                              </a:rPr>
                                              <m:t>s</m:t>
                                            </m:r>
                                          </m:sub>
                                        </m:sSub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 </m:t>
                                        </m:r>
                                        <m:d>
                                          <m:dPr>
                                            <m:ctrlPr>
                                              <a:rPr lang="en-US" sz="1100" b="0" i="1">
                                                <a:latin typeface="Cambria Math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+mn-lt"/>
                                              </a:rPr>
                                              <m:t>acre</m:t>
                                            </m:r>
                                          </m:e>
                                        </m:d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−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B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C</m:t>
                                </m:r>
                              </m:den>
                            </m:f>
                          </m:e>
                        </m:d>
                      </m:e>
                    </m:func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A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R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m</m:t>
                            </m:r>
                          </m:e>
                          <m:sup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2</m:t>
                            </m:r>
                          </m:sup>
                        </m:sSup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L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R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ft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W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R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20 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ft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0.092903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f</m:t>
                            </m:r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t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</m:e>
                    </m:d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W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tons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number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of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cars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x</m:t>
                            </m:r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tons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car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+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number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of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trucks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x</m:t>
                            </m:r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tons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truck</m:t>
                                </m:r>
                              </m:den>
                            </m:f>
                          </m:e>
                        </m:d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total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vehicles</m:t>
                        </m:r>
                      </m:den>
                    </m:f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l-GR" sz="1100" i="0">
                        <a:latin typeface="+mn-lt"/>
                        <a:ea typeface="Cambria Math"/>
                      </a:rPr>
                      <m:t>Σ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VKT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km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=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total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vehicles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distance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km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day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W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cw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weeks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year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D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W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cw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days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week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 b="0">
                <a:latin typeface="+mn-lt"/>
                <a:ea typeface="Cambria Math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T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7200000 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s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D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cw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1 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yr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F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cw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250 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days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year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cw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8 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hrs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day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3600 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hr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F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D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0.18584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=0.1852+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5.3537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t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c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+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−</m:t>
                        </m:r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9.6318</m:t>
                            </m:r>
                          </m:num>
                          <m:den>
                            <m:sSubSup>
                              <m:sSubSup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t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c</m:t>
                                </m:r>
                              </m:sub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2</m:t>
                                </m:r>
                              </m:sup>
                            </m:sSubSup>
                          </m:den>
                        </m:f>
                      </m:e>
                    </m:d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8400 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hr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D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cw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1 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yr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W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cw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50 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wks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year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7 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days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week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24 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hrs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day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>
                <a:latin typeface="+mn-lt"/>
              </a:endParaRPr>
            </a:p>
            <a:p>
              <a:endParaRPr lang="en-US" sz="1100">
                <a:latin typeface="Calibri" panose="020F0502020204030204" pitchFamily="34" charset="0"/>
              </a:endParaRPr>
            </a:p>
            <a:p>
              <a:endParaRPr lang="en-US" sz="1100">
                <a:latin typeface="Calibri" panose="020F0502020204030204" pitchFamily="34" charset="0"/>
              </a:endParaRPr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20288250" y="190500"/>
              <a:ext cx="9696450" cy="4486275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1" u="sng"/>
                <a:t>Particulate Emission Factor - Unpaved Roads</a:t>
              </a:r>
            </a:p>
            <a:p>
              <a:pPr/>
              <a:r>
                <a:rPr lang="en-US" sz="1100" b="0" i="0">
                  <a:latin typeface="Cambria Math"/>
                </a:rPr>
                <a:t>"PE" </a:t>
              </a:r>
              <a:r>
                <a:rPr lang="en-US" sz="1100" b="0" i="0">
                  <a:latin typeface="Calibri" panose="020F0502020204030204" pitchFamily="34" charset="0"/>
                </a:rPr>
                <a:t>"F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sc</a:t>
              </a:r>
              <a:r>
                <a:rPr lang="en-US" sz="1100" b="0" i="0">
                  <a:latin typeface="Cambria Math"/>
                </a:rPr>
                <a:t>"  " " (("</a:t>
              </a:r>
              <a:r>
                <a:rPr lang="en-US" sz="1100" b="0" i="0">
                  <a:latin typeface="Calibri" panose="020F0502020204030204" pitchFamily="34" charset="0"/>
                </a:rPr>
                <a:t>m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air</a:t>
              </a:r>
              <a:r>
                <a:rPr lang="en-US" sz="1100" b="0" i="0">
                  <a:latin typeface="Cambria Math"/>
                </a:rPr>
                <a:t>" ^"</a:t>
              </a:r>
              <a:r>
                <a:rPr lang="en-US" sz="1100" b="0" i="0">
                  <a:latin typeface="Calibri" panose="020F0502020204030204" pitchFamily="34" charset="0"/>
                </a:rPr>
                <a:t>3</a:t>
              </a:r>
              <a:r>
                <a:rPr lang="en-US" sz="1100" b="0" i="0">
                  <a:latin typeface="Cambria Math"/>
                </a:rPr>
                <a:t>" )/("</a:t>
              </a:r>
              <a:r>
                <a:rPr lang="en-US" sz="1100" b="0" i="0">
                  <a:latin typeface="Calibri" panose="020F0502020204030204" pitchFamily="34" charset="0"/>
                </a:rPr>
                <a:t>k</a:t>
              </a:r>
              <a:r>
                <a:rPr lang="en-US" sz="1100" b="0" i="0">
                  <a:latin typeface="Cambria Math"/>
                </a:rPr>
                <a:t>" "</a:t>
              </a:r>
              <a:r>
                <a:rPr lang="en-US" sz="1100" b="0" i="0">
                  <a:latin typeface="Calibri" panose="020F0502020204030204" pitchFamily="34" charset="0"/>
                </a:rPr>
                <a:t>g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soil</a:t>
              </a:r>
              <a:r>
                <a:rPr lang="en-US" sz="1100" b="0" i="0">
                  <a:latin typeface="Cambria Math"/>
                </a:rPr>
                <a:t>"  ))"=" </a:t>
              </a:r>
              <a:r>
                <a:rPr lang="en-US" sz="1100" b="0" i="0">
                  <a:latin typeface="Calibri" panose="020F0502020204030204" pitchFamily="34" charset="0"/>
                </a:rPr>
                <a:t> "Q</a:t>
              </a:r>
              <a:r>
                <a:rPr lang="en-US" sz="1100" b="0" i="0">
                  <a:latin typeface="Cambria Math"/>
                </a:rPr>
                <a:t>" /"</a:t>
              </a:r>
              <a:r>
                <a:rPr lang="en-US" sz="1100" b="0" i="0">
                  <a:latin typeface="Calibri" panose="020F0502020204030204" pitchFamily="34" charset="0"/>
                </a:rPr>
                <a:t>C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sr</a:t>
              </a:r>
              <a:r>
                <a:rPr lang="en-US" sz="1100" b="0" i="0">
                  <a:latin typeface="Cambria Math"/>
                </a:rPr>
                <a:t>"   " " (("</a:t>
              </a:r>
              <a:r>
                <a:rPr lang="en-US" sz="1100" b="0" i="0">
                  <a:latin typeface="Calibri" panose="020F0502020204030204" pitchFamily="34" charset="0"/>
                </a:rPr>
                <a:t>g</a:t>
              </a:r>
              <a:r>
                <a:rPr lang="en-US" sz="1100" b="0" i="0">
                  <a:latin typeface="Cambria Math"/>
                </a:rPr>
                <a:t>" /("</a:t>
              </a:r>
              <a:r>
                <a:rPr lang="en-US" sz="1100" b="0" i="0">
                  <a:latin typeface="Calibri" panose="020F0502020204030204" pitchFamily="34" charset="0"/>
                </a:rPr>
                <a:t>m</a:t>
              </a:r>
              <a:r>
                <a:rPr lang="en-US" sz="1100" b="0" i="0">
                  <a:latin typeface="Cambria Math"/>
                </a:rPr>
                <a:t>" ^"</a:t>
              </a:r>
              <a:r>
                <a:rPr lang="en-US" sz="1100" b="0" i="0">
                  <a:latin typeface="Calibri" panose="020F0502020204030204" pitchFamily="34" charset="0"/>
                </a:rPr>
                <a:t>2</a:t>
              </a:r>
              <a:r>
                <a:rPr lang="en-US" sz="1100" b="0" i="0">
                  <a:latin typeface="Cambria Math"/>
                </a:rPr>
                <a:t>"  "</a:t>
              </a:r>
              <a:r>
                <a:rPr lang="en-US" sz="1100" b="0" i="0">
                  <a:latin typeface="Calibri" panose="020F0502020204030204" pitchFamily="34" charset="0"/>
                </a:rPr>
                <a:t>-s</a:t>
              </a:r>
              <a:r>
                <a:rPr lang="en-US" sz="1100" b="0" i="0">
                  <a:latin typeface="Cambria Math"/>
                </a:rPr>
                <a:t>" ))/("</a:t>
              </a:r>
              <a:r>
                <a:rPr lang="en-US" sz="1100" b="0" i="0">
                  <a:latin typeface="Calibri" panose="020F0502020204030204" pitchFamily="34" charset="0"/>
                </a:rPr>
                <a:t>kg</a:t>
              </a:r>
              <a:r>
                <a:rPr lang="en-US" sz="1100" b="0" i="0">
                  <a:latin typeface="Cambria Math"/>
                </a:rPr>
                <a:t>" /"</a:t>
              </a:r>
              <a:r>
                <a:rPr lang="en-US" sz="1100" b="0" i="0">
                  <a:latin typeface="Calibri" panose="020F0502020204030204" pitchFamily="34" charset="0"/>
                </a:rPr>
                <a:t>m</a:t>
              </a:r>
              <a:r>
                <a:rPr lang="en-US" sz="1100" b="0" i="0">
                  <a:latin typeface="Cambria Math"/>
                </a:rPr>
                <a:t>" ^"</a:t>
              </a:r>
              <a:r>
                <a:rPr lang="en-US" sz="1100" b="0" i="0">
                  <a:latin typeface="Calibri" panose="020F0502020204030204" pitchFamily="34" charset="0"/>
                </a:rPr>
                <a:t>3</a:t>
              </a:r>
              <a:r>
                <a:rPr lang="en-US" sz="1100" b="0" i="0">
                  <a:latin typeface="Cambria Math"/>
                </a:rPr>
                <a:t>"  ))" x" </a:t>
              </a:r>
              <a:r>
                <a:rPr lang="en-US" sz="1100" b="0" i="0">
                  <a:latin typeface="Calibri" panose="020F0502020204030204" pitchFamily="34" charset="0"/>
                </a:rPr>
                <a:t> "1</a:t>
              </a:r>
              <a:r>
                <a:rPr lang="en-US" sz="1100" b="0" i="0">
                  <a:latin typeface="Cambria Math"/>
                </a:rPr>
                <a:t>" /"</a:t>
              </a:r>
              <a:r>
                <a:rPr lang="en-US" sz="1100" b="0" i="0">
                  <a:latin typeface="Calibri" panose="020F0502020204030204" pitchFamily="34" charset="0"/>
                </a:rPr>
                <a:t>F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D</a:t>
              </a:r>
              <a:r>
                <a:rPr lang="en-US" sz="1100" b="0" i="0">
                  <a:latin typeface="Cambria Math"/>
                </a:rPr>
                <a:t>"   " x " [("</a:t>
              </a:r>
              <a:r>
                <a:rPr lang="en-US" sz="1100" b="0" i="0">
                  <a:latin typeface="Calibri" panose="020F0502020204030204" pitchFamily="34" charset="0"/>
                </a:rPr>
                <a:t>T</a:t>
              </a:r>
              <a:r>
                <a:rPr lang="en-US" sz="1100" b="0" i="0">
                  <a:latin typeface="Cambria Math"/>
                </a:rPr>
                <a:t>" ("</a:t>
              </a:r>
              <a:r>
                <a:rPr lang="en-US" sz="1100" b="0" i="0">
                  <a:latin typeface="Calibri" panose="020F0502020204030204" pitchFamily="34" charset="0"/>
                </a:rPr>
                <a:t>s</a:t>
              </a:r>
              <a:r>
                <a:rPr lang="en-US" sz="1100" b="0" i="0">
                  <a:latin typeface="Cambria Math"/>
                </a:rPr>
                <a:t>" )"</a:t>
              </a:r>
              <a:r>
                <a:rPr lang="en-US" sz="1100" b="0" i="0">
                  <a:latin typeface="Calibri" panose="020F0502020204030204" pitchFamily="34" charset="0"/>
                </a:rPr>
                <a:t> x </a:t>
              </a:r>
              <a:r>
                <a:rPr lang="en-US" sz="1100" b="0" i="0">
                  <a:latin typeface="Cambria Math"/>
                </a:rPr>
                <a:t>" "</a:t>
              </a:r>
              <a:r>
                <a:rPr lang="en-US" sz="1100" b="0" i="0">
                  <a:latin typeface="Calibri" panose="020F0502020204030204" pitchFamily="34" charset="0"/>
                </a:rPr>
                <a:t>A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R</a:t>
              </a:r>
              <a:r>
                <a:rPr lang="en-US" sz="1100" b="0" i="0">
                  <a:latin typeface="Cambria Math"/>
                </a:rPr>
                <a:t>"  "</a:t>
              </a:r>
              <a:r>
                <a:rPr lang="en-US" sz="1100" b="0" i="0">
                  <a:latin typeface="Calibri" panose="020F0502020204030204" pitchFamily="34" charset="0"/>
                </a:rPr>
                <a:t> </a:t>
              </a:r>
              <a:r>
                <a:rPr lang="en-US" sz="1100" b="0" i="0">
                  <a:latin typeface="Cambria Math"/>
                </a:rPr>
                <a:t>" ("</a:t>
              </a:r>
              <a:r>
                <a:rPr lang="en-US" sz="1100" b="0" i="0">
                  <a:latin typeface="Calibri" panose="020F0502020204030204" pitchFamily="34" charset="0"/>
                </a:rPr>
                <a:t>m</a:t>
              </a:r>
              <a:r>
                <a:rPr lang="en-US" sz="1100" b="0" i="0">
                  <a:latin typeface="Cambria Math"/>
                </a:rPr>
                <a:t>" ^"</a:t>
              </a:r>
              <a:r>
                <a:rPr lang="en-US" sz="1100" b="0" i="0">
                  <a:latin typeface="Calibri" panose="020F0502020204030204" pitchFamily="34" charset="0"/>
                </a:rPr>
                <a:t>2</a:t>
              </a:r>
              <a:r>
                <a:rPr lang="en-US" sz="1100" b="0" i="0">
                  <a:latin typeface="Cambria Math"/>
                </a:rPr>
                <a:t>"  ))/(("</a:t>
              </a:r>
              <a:r>
                <a:rPr lang="en-US" sz="1100" b="0" i="0">
                  <a:latin typeface="Calibri" panose="020F0502020204030204" pitchFamily="34" charset="0"/>
                </a:rPr>
                <a:t>2.6 x </a:t>
              </a:r>
              <a:r>
                <a:rPr lang="en-US" sz="1100" b="0" i="0">
                  <a:latin typeface="Cambria Math"/>
                </a:rPr>
                <a:t>" ("</a:t>
              </a:r>
              <a:r>
                <a:rPr lang="en-US" sz="1100" b="0" i="0">
                  <a:latin typeface="Calibri" panose="020F0502020204030204" pitchFamily="34" charset="0"/>
                </a:rPr>
                <a:t>s</a:t>
              </a:r>
              <a:r>
                <a:rPr lang="en-US" sz="1100" b="0" i="0">
                  <a:latin typeface="Cambria Math"/>
                </a:rPr>
                <a:t>" /"</a:t>
              </a:r>
              <a:r>
                <a:rPr lang="en-US" sz="1100" b="0" i="0">
                  <a:latin typeface="Calibri" panose="020F0502020204030204" pitchFamily="34" charset="0"/>
                </a:rPr>
                <a:t>12</a:t>
              </a:r>
              <a:r>
                <a:rPr lang="en-US" sz="1100" b="0" i="0">
                  <a:latin typeface="Cambria Math"/>
                </a:rPr>
                <a:t>" )^"</a:t>
              </a:r>
              <a:r>
                <a:rPr lang="en-US" sz="1100" b="0" i="0">
                  <a:latin typeface="Calibri" panose="020F0502020204030204" pitchFamily="34" charset="0"/>
                </a:rPr>
                <a:t>0.8</a:t>
              </a:r>
              <a:r>
                <a:rPr lang="en-US" sz="1100" b="0" i="0">
                  <a:latin typeface="Cambria Math"/>
                </a:rPr>
                <a:t>"  "</a:t>
              </a:r>
              <a:r>
                <a:rPr lang="en-US" sz="1100" b="0" i="0">
                  <a:latin typeface="Calibri" panose="020F0502020204030204" pitchFamily="34" charset="0"/>
                </a:rPr>
                <a:t>x </a:t>
              </a:r>
              <a:r>
                <a:rPr lang="en-US" sz="1100" b="0" i="0">
                  <a:latin typeface="Cambria Math"/>
                </a:rPr>
                <a:t>" ("</a:t>
              </a:r>
              <a:r>
                <a:rPr lang="en-US" sz="1100" b="0" i="0">
                  <a:latin typeface="Calibri" panose="020F0502020204030204" pitchFamily="34" charset="0"/>
                </a:rPr>
                <a:t>W</a:t>
              </a:r>
              <a:r>
                <a:rPr lang="en-US" sz="1100" b="0" i="0">
                  <a:latin typeface="Cambria Math"/>
                </a:rPr>
                <a:t>" ("</a:t>
              </a:r>
              <a:r>
                <a:rPr lang="en-US" sz="1100" b="0" i="0">
                  <a:latin typeface="Calibri" panose="020F0502020204030204" pitchFamily="34" charset="0"/>
                </a:rPr>
                <a:t>tons</a:t>
              </a:r>
              <a:r>
                <a:rPr lang="en-US" sz="1100" b="0" i="0">
                  <a:latin typeface="Cambria Math"/>
                </a:rPr>
                <a:t>" )/"</a:t>
              </a:r>
              <a:r>
                <a:rPr lang="en-US" sz="1100" b="0" i="0">
                  <a:latin typeface="Calibri" panose="020F0502020204030204" pitchFamily="34" charset="0"/>
                </a:rPr>
                <a:t>3</a:t>
              </a:r>
              <a:r>
                <a:rPr lang="en-US" sz="1100" b="0" i="0">
                  <a:latin typeface="Cambria Math"/>
                </a:rPr>
                <a:t>" )^"</a:t>
              </a:r>
              <a:r>
                <a:rPr lang="en-US" sz="1100" b="0" i="0">
                  <a:latin typeface="Calibri" panose="020F0502020204030204" pitchFamily="34" charset="0"/>
                </a:rPr>
                <a:t>0.4</a:t>
              </a:r>
              <a:r>
                <a:rPr lang="en-US" sz="1100" b="0" i="0">
                  <a:latin typeface="Cambria Math"/>
                </a:rPr>
                <a:t>" )/("</a:t>
              </a:r>
              <a:r>
                <a:rPr lang="en-US" sz="1100" b="0" i="0">
                  <a:latin typeface="Calibri" panose="020F0502020204030204" pitchFamily="34" charset="0"/>
                </a:rPr>
                <a:t>M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dry</a:t>
              </a:r>
              <a:r>
                <a:rPr lang="en-US" sz="1100" b="0" i="0">
                  <a:latin typeface="Cambria Math"/>
                </a:rPr>
                <a:t>" /"</a:t>
              </a:r>
              <a:r>
                <a:rPr lang="en-US" sz="1100" b="0" i="0">
                  <a:latin typeface="Calibri" panose="020F0502020204030204" pitchFamily="34" charset="0"/>
                </a:rPr>
                <a:t>0.2</a:t>
              </a:r>
              <a:r>
                <a:rPr lang="en-US" sz="1100" b="0" i="0">
                  <a:latin typeface="Cambria Math"/>
                </a:rPr>
                <a:t>" )^"</a:t>
              </a:r>
              <a:r>
                <a:rPr lang="en-US" sz="1100" b="0" i="0">
                  <a:latin typeface="Calibri" panose="020F0502020204030204" pitchFamily="34" charset="0"/>
                </a:rPr>
                <a:t>0.3</a:t>
              </a:r>
              <a:r>
                <a:rPr lang="en-US" sz="1100" b="0" i="0">
                  <a:latin typeface="Cambria Math"/>
                </a:rPr>
                <a:t>"   "</a:t>
              </a:r>
              <a:r>
                <a:rPr lang="en-US" sz="1100" b="0" i="0">
                  <a:latin typeface="Calibri" panose="020F0502020204030204" pitchFamily="34" charset="0"/>
                </a:rPr>
                <a:t> x </a:t>
              </a:r>
              <a:r>
                <a:rPr lang="en-US" sz="1100" b="0" i="0">
                  <a:latin typeface="Cambria Math"/>
                </a:rPr>
                <a:t>"  (("</a:t>
              </a:r>
              <a:r>
                <a:rPr lang="en-US" sz="1100" b="0" i="0">
                  <a:latin typeface="Calibri" panose="020F0502020204030204" pitchFamily="34" charset="0"/>
                </a:rPr>
                <a:t>365 </a:t>
              </a:r>
              <a:r>
                <a:rPr lang="en-US" sz="1100" b="0" i="0">
                  <a:latin typeface="Cambria Math"/>
                </a:rPr>
                <a:t>" ("</a:t>
              </a:r>
              <a:r>
                <a:rPr lang="en-US" sz="1100" b="0" i="0">
                  <a:latin typeface="Calibri" panose="020F0502020204030204" pitchFamily="34" charset="0"/>
                </a:rPr>
                <a:t>days</a:t>
              </a:r>
              <a:r>
                <a:rPr lang="en-US" sz="1100" b="0" i="0">
                  <a:latin typeface="Cambria Math"/>
                </a:rPr>
                <a:t>" /"</a:t>
              </a:r>
              <a:r>
                <a:rPr lang="en-US" sz="1100" b="0" i="0">
                  <a:latin typeface="Calibri" panose="020F0502020204030204" pitchFamily="34" charset="0"/>
                </a:rPr>
                <a:t>year</a:t>
              </a:r>
              <a:r>
                <a:rPr lang="en-US" sz="1100" b="0" i="0">
                  <a:latin typeface="Cambria Math"/>
                </a:rPr>
                <a:t>" )"</a:t>
              </a:r>
              <a:r>
                <a:rPr lang="en-US" sz="1100" b="0" i="0">
                  <a:latin typeface="Calibri" panose="020F0502020204030204" pitchFamily="34" charset="0"/>
                </a:rPr>
                <a:t> -p </a:t>
              </a:r>
              <a:r>
                <a:rPr lang="en-US" sz="1100" b="0" i="0">
                  <a:latin typeface="Cambria Math"/>
                </a:rPr>
                <a:t>" ("</a:t>
              </a:r>
              <a:r>
                <a:rPr lang="en-US" sz="1100" b="0" i="0">
                  <a:latin typeface="Calibri" panose="020F0502020204030204" pitchFamily="34" charset="0"/>
                </a:rPr>
                <a:t>days</a:t>
              </a:r>
              <a:r>
                <a:rPr lang="en-US" sz="1100" b="0" i="0">
                  <a:latin typeface="Cambria Math"/>
                </a:rPr>
                <a:t>" /"</a:t>
              </a:r>
              <a:r>
                <a:rPr lang="en-US" sz="1100" b="0" i="0">
                  <a:latin typeface="Calibri" panose="020F0502020204030204" pitchFamily="34" charset="0"/>
                </a:rPr>
                <a:t>year</a:t>
              </a:r>
              <a:r>
                <a:rPr lang="en-US" sz="1100" b="0" i="0">
                  <a:latin typeface="Cambria Math"/>
                </a:rPr>
                <a:t>" )))/"</a:t>
              </a:r>
              <a:r>
                <a:rPr lang="en-US" sz="1100" b="0" i="0">
                  <a:latin typeface="Calibri" panose="020F0502020204030204" pitchFamily="34" charset="0"/>
                </a:rPr>
                <a:t>365 </a:t>
              </a:r>
              <a:r>
                <a:rPr lang="en-US" sz="1100" b="0" i="0">
                  <a:latin typeface="Cambria Math"/>
                </a:rPr>
                <a:t>" ("</a:t>
              </a:r>
              <a:r>
                <a:rPr lang="en-US" sz="1100" b="0" i="0">
                  <a:latin typeface="Calibri" panose="020F0502020204030204" pitchFamily="34" charset="0"/>
                </a:rPr>
                <a:t>days</a:t>
              </a:r>
              <a:r>
                <a:rPr lang="en-US" sz="1100" b="0" i="0">
                  <a:latin typeface="Cambria Math"/>
                </a:rPr>
                <a:t>" /"</a:t>
              </a:r>
              <a:r>
                <a:rPr lang="en-US" sz="1100" b="0" i="0">
                  <a:latin typeface="Calibri" panose="020F0502020204030204" pitchFamily="34" charset="0"/>
                </a:rPr>
                <a:t>year</a:t>
              </a:r>
              <a:r>
                <a:rPr lang="en-US" sz="1100" b="0" i="0">
                  <a:latin typeface="Cambria Math"/>
                </a:rPr>
                <a:t>" )  "</a:t>
              </a:r>
              <a:r>
                <a:rPr lang="en-US" sz="1100" b="0" i="0">
                  <a:latin typeface="Calibri" panose="020F0502020204030204" pitchFamily="34" charset="0"/>
                </a:rPr>
                <a:t> x 281.9 x </a:t>
              </a:r>
              <a:r>
                <a:rPr lang="el-GR" sz="1100" b="0" i="0">
                  <a:latin typeface="Calibri" panose="020F0502020204030204" pitchFamily="34" charset="0"/>
                  <a:ea typeface="Cambria Math"/>
                </a:rPr>
                <a:t>Σ</a:t>
              </a:r>
              <a:r>
                <a:rPr lang="en-US" sz="1100" b="0" i="0">
                  <a:latin typeface="Calibri" panose="020F0502020204030204" pitchFamily="34" charset="0"/>
                  <a:ea typeface="Cambria Math"/>
                </a:rPr>
                <a:t>VKT </a:t>
              </a:r>
              <a:r>
                <a:rPr lang="en-US" sz="1100" b="0" i="0">
                  <a:latin typeface="Cambria Math"/>
                  <a:ea typeface="Cambria Math"/>
                </a:rPr>
                <a:t>" ("</a:t>
              </a:r>
              <a:r>
                <a:rPr lang="en-US" sz="1100" b="0" i="0">
                  <a:latin typeface="Calibri" panose="020F0502020204030204" pitchFamily="34" charset="0"/>
                  <a:ea typeface="Cambria Math"/>
                </a:rPr>
                <a:t>km</a:t>
              </a:r>
              <a:r>
                <a:rPr lang="en-US" sz="1100" b="0" i="0">
                  <a:latin typeface="Cambria Math"/>
                  <a:ea typeface="Cambria Math"/>
                </a:rPr>
                <a:t>" ) )]</a:t>
              </a:r>
              <a:endParaRPr lang="en-US" sz="1100">
                <a:latin typeface="Calibri" panose="020F0502020204030204" pitchFamily="34" charset="0"/>
              </a:endParaRPr>
            </a:p>
            <a:p>
              <a:pPr/>
              <a:r>
                <a:rPr lang="en-US" sz="1100" b="0" i="0">
                  <a:latin typeface="+mn-lt"/>
                </a:rPr>
                <a:t>"Q" /"C" _"sr" 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(("g" /("m" ^"2"  "-s" ))/("kg" /"m" ^"3"  ))</a:t>
              </a:r>
              <a:r>
                <a:rPr lang="en-US" sz="1100" b="0" i="0">
                  <a:latin typeface="Cambria Math"/>
                </a:rPr>
                <a:t>"=A x</a:t>
              </a:r>
              <a:r>
                <a:rPr lang="en-US" sz="1100" b="0" i="0">
                  <a:latin typeface="+mn-lt"/>
                </a:rPr>
                <a:t>"  "exp" ⁡[("ln" "A" _"s"  " " ("acre" )"-B" )^"2" /"C" ]</a:t>
              </a:r>
              <a:endParaRPr lang="en-US" sz="1100" b="0">
                <a:latin typeface="+mn-lt"/>
              </a:endParaRPr>
            </a:p>
            <a:p>
              <a:pPr/>
              <a:r>
                <a:rPr lang="en-US" sz="1100" b="0" i="0">
                  <a:latin typeface="+mn-lt"/>
                </a:rPr>
                <a:t>"A" _"R"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("m" ^"2"  )</a:t>
              </a:r>
              <a:r>
                <a:rPr lang="en-US" sz="1100" b="0" i="0">
                  <a:latin typeface="Cambria Math"/>
                </a:rPr>
                <a:t>"=</a:t>
              </a:r>
              <a:r>
                <a:rPr lang="en-US" sz="1100" b="0" i="0">
                  <a:latin typeface="+mn-lt"/>
                </a:rPr>
                <a:t>" "L" _"R"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("ft" )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n-US" sz="1100" b="0" i="0">
                  <a:latin typeface="+mn-lt"/>
                </a:rPr>
                <a:t>" "W" _"R"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("20 ft" )</a:t>
              </a:r>
              <a:r>
                <a:rPr lang="en-US" sz="1100" b="0" i="0">
                  <a:latin typeface="Cambria Math"/>
                </a:rPr>
                <a:t>" x 0.092903 </a:t>
              </a:r>
              <a:r>
                <a:rPr lang="en-US" sz="1100" b="0" i="0">
                  <a:latin typeface="+mn-lt"/>
                </a:rPr>
                <a:t>" ("m" ^"2" /("f" "t" ^"2"  ))</a:t>
              </a:r>
              <a:endParaRPr lang="en-US" sz="1100" b="0">
                <a:latin typeface="+mn-lt"/>
              </a:endParaRPr>
            </a:p>
            <a:p>
              <a:pPr/>
              <a:r>
                <a:rPr lang="en-US" sz="1100" b="0" i="0">
                  <a:latin typeface="Cambria Math"/>
                </a:rPr>
                <a:t>"W </a:t>
              </a:r>
              <a:r>
                <a:rPr lang="en-US" sz="1100" b="0" i="0">
                  <a:latin typeface="+mn-lt"/>
                </a:rPr>
                <a:t>" ("tons" )</a:t>
              </a:r>
              <a:r>
                <a:rPr lang="en-US" sz="1100" b="0" i="0">
                  <a:latin typeface="Cambria Math"/>
                </a:rPr>
                <a:t>"=</a:t>
              </a:r>
              <a:r>
                <a:rPr lang="en-US" sz="1100" b="0" i="0">
                  <a:latin typeface="+mn-lt"/>
                </a:rPr>
                <a:t>"  (("number of cars x"  "tons" /"car"  "+number of trucks x"  "tons" /"truck" ))/"total vehicles" </a:t>
              </a:r>
              <a:endParaRPr lang="en-US" sz="1100" b="0">
                <a:latin typeface="+mn-lt"/>
              </a:endParaRPr>
            </a:p>
            <a:p>
              <a:pPr/>
              <a:r>
                <a:rPr lang="el-GR" sz="1100" i="0">
                  <a:latin typeface="Cambria Math"/>
                  <a:ea typeface="Cambria Math"/>
                </a:rPr>
                <a:t>"Σ</a:t>
              </a:r>
              <a:r>
                <a:rPr lang="en-US" sz="1100" b="0" i="0">
                  <a:latin typeface="Cambria Math"/>
                  <a:ea typeface="Cambria Math"/>
                </a:rPr>
                <a:t>VKT </a:t>
              </a:r>
              <a:r>
                <a:rPr lang="en-US" sz="1100" b="0" i="0">
                  <a:latin typeface="+mn-lt"/>
                  <a:ea typeface="Cambria Math"/>
                </a:rPr>
                <a:t>" ("km" )</a:t>
              </a:r>
              <a:r>
                <a:rPr lang="en-US" sz="1100" b="0" i="0">
                  <a:latin typeface="Cambria Math"/>
                  <a:ea typeface="Cambria Math"/>
                </a:rPr>
                <a:t>"=total vehicles x distance </a:t>
              </a:r>
              <a:r>
                <a:rPr lang="en-US" sz="1100" b="0" i="0">
                  <a:latin typeface="+mn-lt"/>
                  <a:ea typeface="Cambria Math"/>
                </a:rPr>
                <a:t>" ("km" /"day" )</a:t>
              </a:r>
              <a:r>
                <a:rPr lang="en-US" sz="1100" b="0" i="0">
                  <a:latin typeface="Cambria Math"/>
                  <a:ea typeface="Cambria Math"/>
                </a:rPr>
                <a:t>" x E</a:t>
              </a:r>
              <a:r>
                <a:rPr lang="en-US" sz="1100" b="0" i="0">
                  <a:latin typeface="+mn-lt"/>
                  <a:ea typeface="Cambria Math"/>
                </a:rPr>
                <a:t>" "W" _"cw"  </a:t>
              </a:r>
              <a:r>
                <a:rPr lang="en-US" sz="1100" b="0" i="0">
                  <a:latin typeface="Cambria Math"/>
                  <a:ea typeface="Cambria Math"/>
                </a:rPr>
                <a:t>" </a:t>
              </a:r>
              <a:r>
                <a:rPr lang="en-US" sz="1100" b="0" i="0">
                  <a:latin typeface="+mn-lt"/>
                  <a:ea typeface="Cambria Math"/>
                </a:rPr>
                <a:t>" ("weeks" /"year" )</a:t>
              </a:r>
              <a:r>
                <a:rPr lang="en-US" sz="1100" b="0" i="0">
                  <a:latin typeface="Cambria Math"/>
                  <a:ea typeface="Cambria Math"/>
                </a:rPr>
                <a:t>" x D</a:t>
              </a:r>
              <a:r>
                <a:rPr lang="en-US" sz="1100" b="0" i="0">
                  <a:latin typeface="+mn-lt"/>
                  <a:ea typeface="Cambria Math"/>
                </a:rPr>
                <a:t>" "W" _"cw"  </a:t>
              </a:r>
              <a:r>
                <a:rPr lang="en-US" sz="1100" b="0" i="0">
                  <a:latin typeface="Cambria Math"/>
                  <a:ea typeface="Cambria Math"/>
                </a:rPr>
                <a:t>" </a:t>
              </a:r>
              <a:r>
                <a:rPr lang="en-US" sz="1100" b="0" i="0">
                  <a:latin typeface="+mn-lt"/>
                  <a:ea typeface="Cambria Math"/>
                </a:rPr>
                <a:t>" ("days" /"week" )</a:t>
              </a:r>
              <a:endParaRPr lang="en-US" sz="1100" b="0">
                <a:latin typeface="+mn-lt"/>
                <a:ea typeface="Cambria Math"/>
              </a:endParaRPr>
            </a:p>
            <a:p>
              <a:pPr/>
              <a:r>
                <a:rPr lang="en-US" sz="1100" b="0" i="0">
                  <a:latin typeface="Cambria Math"/>
                </a:rPr>
                <a:t>"T </a:t>
              </a:r>
              <a:r>
                <a:rPr lang="en-US" sz="1100" b="0" i="0">
                  <a:latin typeface="+mn-lt"/>
                </a:rPr>
                <a:t>" ("7200000 s" )</a:t>
              </a:r>
              <a:r>
                <a:rPr lang="en-US" sz="1100" b="0" i="0">
                  <a:latin typeface="Cambria Math"/>
                </a:rPr>
                <a:t>"=E</a:t>
              </a:r>
              <a:r>
                <a:rPr lang="en-US" sz="1100" b="0" i="0">
                  <a:latin typeface="+mn-lt"/>
                </a:rPr>
                <a:t>" "D" _"cw"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("1 yr" )</a:t>
              </a:r>
              <a:r>
                <a:rPr lang="en-US" sz="1100" b="0" i="0">
                  <a:latin typeface="Cambria Math"/>
                </a:rPr>
                <a:t>" x E</a:t>
              </a:r>
              <a:r>
                <a:rPr lang="en-US" sz="1100" b="0" i="0">
                  <a:latin typeface="+mn-lt"/>
                </a:rPr>
                <a:t>" "F" _"cw"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("250 days" /"year" )</a:t>
              </a:r>
              <a:r>
                <a:rPr lang="en-US" sz="1100" b="0" i="0">
                  <a:latin typeface="Cambria Math"/>
                </a:rPr>
                <a:t>" x E</a:t>
              </a:r>
              <a:r>
                <a:rPr lang="en-US" sz="1100" b="0" i="0">
                  <a:latin typeface="+mn-lt"/>
                </a:rPr>
                <a:t>" "T" _"cw"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("8 hrs" /"day" )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n-US" sz="1100" b="0" i="0">
                  <a:latin typeface="+mn-lt"/>
                </a:rPr>
                <a:t>" ("3600 s" /"hr" )</a:t>
              </a:r>
              <a:endParaRPr lang="en-US" sz="1100" b="0">
                <a:latin typeface="+mn-lt"/>
              </a:endParaRPr>
            </a:p>
            <a:p>
              <a:pPr/>
              <a:r>
                <a:rPr lang="en-US" sz="1100" b="0" i="0">
                  <a:latin typeface="+mn-lt"/>
                </a:rPr>
                <a:t>"F" _"D"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("0.18584" )</a:t>
              </a:r>
              <a:r>
                <a:rPr lang="en-US" sz="1100" b="0" i="0">
                  <a:latin typeface="Cambria Math"/>
                </a:rPr>
                <a:t>"=0.1852+</a:t>
              </a:r>
              <a:r>
                <a:rPr lang="en-US" sz="1100" b="0" i="0">
                  <a:latin typeface="+mn-lt"/>
                </a:rPr>
                <a:t>" ("5.3537" /"t" _"c"  )</a:t>
              </a:r>
              <a:r>
                <a:rPr lang="en-US" sz="1100" b="0" i="0">
                  <a:latin typeface="Cambria Math"/>
                </a:rPr>
                <a:t>"+</a:t>
              </a:r>
              <a:r>
                <a:rPr lang="en-US" sz="1100" b="0" i="0">
                  <a:latin typeface="+mn-lt"/>
                </a:rPr>
                <a:t>" ("-"  "9.6318" /("t" _"c" ^"2"  ))</a:t>
              </a:r>
              <a:endParaRPr lang="en-US" sz="1100" b="0">
                <a:latin typeface="+mn-lt"/>
              </a:endParaRPr>
            </a:p>
            <a:p>
              <a:pPr/>
              <a:r>
                <a:rPr lang="en-US" sz="1100" b="0" i="0">
                  <a:latin typeface="+mn-lt"/>
                </a:rPr>
                <a:t>"t" _"c"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("8400 hr" )</a:t>
              </a:r>
              <a:r>
                <a:rPr lang="en-US" sz="1100" b="0" i="0">
                  <a:latin typeface="Cambria Math"/>
                </a:rPr>
                <a:t>"=E</a:t>
              </a:r>
              <a:r>
                <a:rPr lang="en-US" sz="1100" b="0" i="0">
                  <a:latin typeface="+mn-lt"/>
                </a:rPr>
                <a:t>" "D" _"cw"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("1 yr" )</a:t>
              </a:r>
              <a:r>
                <a:rPr lang="en-US" sz="1100" b="0" i="0">
                  <a:latin typeface="Cambria Math"/>
                </a:rPr>
                <a:t>" x E</a:t>
              </a:r>
              <a:r>
                <a:rPr lang="en-US" sz="1100" b="0" i="0">
                  <a:latin typeface="+mn-lt"/>
                </a:rPr>
                <a:t>" "W" _"cw"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("50 wks" /"year" )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n-US" sz="1100" b="0" i="0">
                  <a:latin typeface="+mn-lt"/>
                </a:rPr>
                <a:t>" ("7 days" /"week" )</a:t>
              </a:r>
              <a:r>
                <a:rPr lang="en-US" sz="1100" b="0" i="0">
                  <a:latin typeface="Cambria Math"/>
                </a:rPr>
                <a:t>" x  </a:t>
              </a:r>
              <a:r>
                <a:rPr lang="en-US" sz="1100" b="0" i="0">
                  <a:latin typeface="+mn-lt"/>
                </a:rPr>
                <a:t>" ("24 hrs" /"day" )</a:t>
              </a:r>
              <a:endParaRPr lang="en-US" sz="1100">
                <a:latin typeface="+mn-lt"/>
              </a:endParaRPr>
            </a:p>
            <a:p>
              <a:pPr/>
              <a:endParaRPr lang="en-US" sz="1100">
                <a:latin typeface="Calibri" panose="020F0502020204030204" pitchFamily="34" charset="0"/>
              </a:endParaRPr>
            </a:p>
            <a:p>
              <a:pPr/>
              <a:endParaRPr lang="en-US" sz="1100">
                <a:latin typeface="Calibri" panose="020F0502020204030204" pitchFamily="34" charset="0"/>
              </a:endParaRPr>
            </a:p>
          </xdr:txBody>
        </xdr:sp>
      </mc:Fallback>
    </mc:AlternateContent>
    <xdr:clientData/>
  </xdr:oneCellAnchor>
  <xdr:oneCellAnchor>
    <xdr:from>
      <xdr:col>33</xdr:col>
      <xdr:colOff>0</xdr:colOff>
      <xdr:row>25</xdr:row>
      <xdr:rowOff>0</xdr:rowOff>
    </xdr:from>
    <xdr:ext cx="9696450" cy="6953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/>
            <xdr:cNvSpPr txBox="1"/>
          </xdr:nvSpPr>
          <xdr:spPr>
            <a:xfrm>
              <a:off x="20288250" y="4848225"/>
              <a:ext cx="9696450" cy="6953250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1" u="sng"/>
                <a:t>Particulate Emission Factor - Other Than Unpaved Roads</a:t>
              </a: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PE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F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′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sc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m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air</m:t>
                                </m:r>
                              </m:sub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3</m:t>
                                </m:r>
                              </m:sup>
                            </m:sSubSup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k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g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soil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Q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sa</m:t>
                            </m:r>
                          </m:sub>
                        </m:sSub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g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s</m:t>
                                </m:r>
                              </m:den>
                            </m:f>
                          </m:num>
                          <m:den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kg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Calibri" panose="020F0502020204030204" pitchFamily="34" charset="0"/>
                                      </a:rPr>
                                      <m:t>3</m:t>
                                    </m:r>
                                  </m:sup>
                                </m:sSup>
                              </m:den>
                            </m:f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x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1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D</m:t>
                            </m:r>
                          </m:sub>
                        </m:sSub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 </m:t>
                    </m:r>
                    <m:d>
                      <m:dPr>
                        <m:begChr m:val=""/>
                        <m:endChr m:val=""/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&lt;</m:t>
                            </m:r>
                            <m:sSubSup>
                              <m:sSubSup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sSubSupPr>
                              <m:e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𝐽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𝑇</m:t>
                                </m:r>
                              </m:sub>
                              <m:sup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′</m:t>
                                </m:r>
                              </m:sup>
                            </m:sSubSup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&gt;</m:t>
                            </m:r>
                            <m:d>
                              <m:d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100" b="0" i="1">
                                        <a:latin typeface="Cambria Math"/>
                                        <a:ea typeface="Cambria Math"/>
                                      </a:rPr>
                                      <m:t>𝑔</m:t>
                                    </m:r>
                                  </m:num>
                                  <m:den>
                                    <m:sSup>
                                      <m:sSupPr>
                                        <m:ctrlPr>
                                          <a:rPr lang="en-US" sz="11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sSupPr>
                                      <m:e>
                                        <m:r>
                                          <a:rPr lang="en-US" sz="1100" b="0" i="1">
                                            <a:latin typeface="Cambria Math"/>
                                            <a:ea typeface="Cambria Math"/>
                                          </a:rPr>
                                          <m:t>𝑚</m:t>
                                        </m:r>
                                      </m:e>
                                      <m:sup>
                                        <m:r>
                                          <a:rPr lang="en-US" sz="1100" b="0" i="1">
                                            <a:latin typeface="Cambria Math"/>
                                            <a:ea typeface="Cambria Math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  <m:r>
                                      <a:rPr lang="en-US" sz="1100" b="0" i="1">
                                        <a:latin typeface="Cambria Math"/>
                                        <a:ea typeface="Cambria Math"/>
                                      </a:rPr>
                                      <m:t>−</m:t>
                                    </m:r>
                                    <m:r>
                                      <a:rPr lang="en-US" sz="1100" b="0" i="1">
                                        <a:latin typeface="Cambria Math"/>
                                        <a:ea typeface="Cambria Math"/>
                                      </a:rPr>
                                      <m:t>𝑠</m:t>
                                    </m:r>
                                  </m:den>
                                </m:f>
                              </m:e>
                            </m:d>
                          </m:den>
                        </m:f>
                      </m:e>
                    </m:d>
                  </m:oMath>
                </m:oMathPara>
              </a14:m>
              <a:endParaRPr lang="en-US" sz="1100" b="0">
                <a:latin typeface="Calibri" panose="020F0502020204030204" pitchFamily="34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Q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sa</m:t>
                            </m:r>
                          </m:sub>
                        </m:sSub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g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s</m:t>
                                </m:r>
                              </m:den>
                            </m:f>
                          </m:num>
                          <m:den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kg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3</m:t>
                                    </m:r>
                                  </m:sup>
                                </m:sSup>
                              </m:den>
                            </m:f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A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func>
                      <m:funcPr>
                        <m:ctrlPr>
                          <a:rPr lang="en-US" sz="1100" b="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exp</m:t>
                        </m:r>
                      </m:fName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ln</m:t>
                                        </m:r>
                                        <m:sSub>
                                          <m:sSubPr>
                                            <m:ctrlPr>
                                              <a:rPr lang="en-US" sz="1100" b="0" i="1">
                                                <a:latin typeface="Cambria Math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+mn-lt"/>
                                              </a:rPr>
                                              <m:t>A</m:t>
                                            </m:r>
                                          </m:e>
                                          <m:sub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+mn-lt"/>
                                              </a:rPr>
                                              <m:t>c</m:t>
                                            </m:r>
                                          </m:sub>
                                        </m:sSub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 </m:t>
                                        </m:r>
                                        <m:d>
                                          <m:dPr>
                                            <m:ctrlPr>
                                              <a:rPr lang="en-US" sz="1100" b="0" i="1">
                                                <a:latin typeface="Cambria Math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+mn-lt"/>
                                              </a:rPr>
                                              <m:t>acre</m:t>
                                            </m:r>
                                          </m:e>
                                        </m:d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−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B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C</m:t>
                                </m:r>
                              </m:den>
                            </m:f>
                          </m:e>
                        </m:d>
                      </m:e>
                    </m:func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&lt;</m:t>
                    </m:r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J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</m:t>
                        </m:r>
                      </m:sub>
                      <m:sup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′</m:t>
                        </m:r>
                      </m:sup>
                    </m:sSubSup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&gt;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g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2</m:t>
                                </m:r>
                              </m:sup>
                            </m:sSup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−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s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wind</m:t>
                            </m:r>
                          </m:sub>
                          <m:sup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pc</m:t>
                            </m:r>
                          </m:sup>
                        </m:sSubSup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g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excav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g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doz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g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grade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g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M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till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g</m:t>
                            </m:r>
                          </m:e>
                        </m:d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A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surf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2</m:t>
                                </m:r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s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/>
                          </a:rPr>
                        </m:ctrlPr>
                      </m:sSubSup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M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wind</m:t>
                        </m:r>
                      </m:sub>
                      <m:sup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pc</m:t>
                        </m:r>
                      </m:sup>
                    </m:sSubSup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g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=0.036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1−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V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sSup>
                      <m:sSupPr>
                        <m:ctrlPr>
                          <a:rPr lang="en-US" sz="1100" b="0" i="1">
                            <a:latin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U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m</m:t>
                                    </m:r>
                                  </m:sub>
                                </m:sSub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m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s</m:t>
                                        </m:r>
                                      </m:den>
                                    </m:f>
                                  </m:e>
                                </m:d>
                              </m:num>
                              <m:den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U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t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m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s</m:t>
                                        </m:r>
                                      </m:den>
                                    </m:f>
                                  </m:e>
                                </m:d>
                              </m:den>
                            </m:f>
                          </m:e>
                        </m:d>
                      </m:e>
                      <m:sup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3</m:t>
                        </m:r>
                      </m:sup>
                    </m:sSup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F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x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A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surf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m</m:t>
                            </m:r>
                          </m:e>
                          <m:sup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2</m:t>
                            </m:r>
                          </m:sup>
                        </m:sSup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ED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yr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8760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hr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yr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M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excav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g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=0.35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0.0016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U</m:t>
                                        </m:r>
                                      </m:e>
                                      <m:sub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m</m:t>
                                        </m:r>
                                      </m:sub>
                                    </m:s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 </m:t>
                                    </m:r>
                                    <m:d>
                                      <m:d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en-US" sz="1100" b="0" i="1">
                                                <a:latin typeface="Cambria Math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+mn-lt"/>
                                              </a:rPr>
                                              <m:t>m</m:t>
                                            </m:r>
                                          </m:num>
                                          <m:den>
                                            <m:r>
                                              <m:rPr>
                                                <m:nor/>
                                              </m:rPr>
                                              <a:rPr lang="en-US" sz="1100" b="0" i="0">
                                                <a:latin typeface="+mn-lt"/>
                                              </a:rPr>
                                              <m:t>s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2.2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1.3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M</m:t>
                                        </m:r>
                                      </m:e>
                                      <m:sub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m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−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excav</m:t>
                                        </m:r>
                                      </m:sub>
                                    </m:s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 </m:t>
                                    </m:r>
                                    <m:d>
                                      <m:dPr>
                                        <m:ctrlPr>
                                          <a:rPr lang="en-US" sz="1100" b="0" i="1">
                                            <a:latin typeface="Cambria Math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latin typeface="+mn-lt"/>
                                          </a:rPr>
                                          <m:t>%</m:t>
                                        </m:r>
                                      </m:e>
                                    </m:d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2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1.4</m:t>
                            </m:r>
                          </m:sup>
                        </m:sSup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ρ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soil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Mg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A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excav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m</m:t>
                            </m:r>
                          </m:e>
                          <m:sup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2</m:t>
                            </m:r>
                          </m:sup>
                        </m:sSup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d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excav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m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N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A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dump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1000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g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kg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 b="0">
                <a:latin typeface="+mn-lt"/>
                <a:ea typeface="Cambria Math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M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doz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g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=0.75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0.45 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s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doz</m:t>
                                    </m:r>
                                  </m:sub>
                                </m:sSub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%</m:t>
                                    </m:r>
                                  </m:e>
                                </m:d>
                              </m:e>
                            </m:d>
                          </m:e>
                          <m:sup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1.5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M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m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−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doz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latin typeface="+mn-lt"/>
                                      </a:rPr>
                                      <m:t>%</m:t>
                                    </m:r>
                                  </m:e>
                                </m:d>
                              </m:e>
                            </m:d>
                          </m:e>
                          <m:sup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1.4</m:t>
                            </m:r>
                          </m:sup>
                        </m:sSup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l-GR" sz="1100" b="0" i="0">
                            <a:latin typeface="+mn-lt"/>
                            <a:ea typeface="Cambria Math"/>
                          </a:rPr>
                          <m:t>Σ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VK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doz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(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km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)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S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doz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km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hr</m:t>
                                </m:r>
                              </m:den>
                            </m:f>
                          </m:e>
                        </m:d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1000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g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kg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M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grade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g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=0.60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0.0056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S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grade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sSup>
                      <m:sSupPr>
                        <m:ctrlPr>
                          <a:rPr lang="en-US" sz="1100" b="0" i="1">
                            <a:latin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km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hr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2</m:t>
                        </m:r>
                      </m:sup>
                    </m:sSup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l-GR" sz="1100" b="0" i="0">
                        <a:latin typeface="+mn-lt"/>
                        <a:ea typeface="Cambria Math"/>
                      </a:rPr>
                      <m:t>Σ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VK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T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grade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km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1000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g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kg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 b="0">
                <a:latin typeface="+mn-lt"/>
                <a:ea typeface="Cambria Math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M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till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g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=1.1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s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till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sSup>
                      <m:sSupPr>
                        <m:ctrlPr>
                          <a:rPr lang="en-US" sz="1100" b="0" i="1">
                            <a:latin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%</m:t>
                            </m:r>
                          </m:e>
                        </m:d>
                      </m:e>
                      <m:sup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0.6</m:t>
                        </m:r>
                      </m:sup>
                    </m:sSup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A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till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acres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4047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acre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sSup>
                      <m:sSupPr>
                        <m:ctrlPr>
                          <a:rPr lang="en-US" sz="1100" b="0" i="1">
                            <a:latin typeface="Cambria Math"/>
                          </a:rPr>
                        </m:ctrlPr>
                      </m:sSup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10</m:t>
                        </m:r>
                      </m:e>
                      <m:sup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−4</m:t>
                        </m:r>
                      </m:sup>
                    </m:sSup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ha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1000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g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kg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N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A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till</m:t>
                        </m:r>
                      </m:sub>
                    </m:sSub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l-GR" sz="1100" b="0" i="0">
                        <a:latin typeface="+mn-lt"/>
                        <a:ea typeface="Cambria Math"/>
                      </a:rPr>
                      <m:t>Σ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VK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T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grade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km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A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c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grade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acres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4047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acre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x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1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B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  <a:ea typeface="Cambria Math"/>
                              </a:rPr>
                              <m:t>g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 (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m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)</m:t>
                        </m:r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x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1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1000 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m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  <a:ea typeface="Cambria Math"/>
                                  </a:rPr>
                                  <m:t>km</m:t>
                                </m:r>
                              </m:den>
                            </m:f>
                          </m:e>
                        </m:d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  <a:ea typeface="Cambria Math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N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A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  <a:ea typeface="Cambria Math"/>
                          </a:rPr>
                          <m:t>grade</m:t>
                        </m:r>
                      </m:sub>
                    </m:sSub>
                  </m:oMath>
                </m:oMathPara>
              </a14:m>
              <a:endParaRPr lang="en-US" sz="1100" b="0">
                <a:latin typeface="+mn-lt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l-GR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Σ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VK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T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doz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km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A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c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doz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acres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4047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acre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x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B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(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m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x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1000 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m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km</m:t>
                                </m:r>
                              </m:den>
                            </m:f>
                          </m:e>
                        </m:d>
                      </m:den>
                    </m:f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N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A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doz</m:t>
                        </m:r>
                      </m:sub>
                    </m:sSub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T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7200000 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s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D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cw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1 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yr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F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cw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250 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days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year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cw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8 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hrs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day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3600 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hr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F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D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0.18584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=0.1852+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5.3537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t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c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+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−</m:t>
                        </m:r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9.6318</m:t>
                            </m:r>
                          </m:num>
                          <m:den>
                            <m:sSubSup>
                              <m:sSubSup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t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c</m:t>
                                </m:r>
                              </m:sub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+mn-lt"/>
                                  </a:rPr>
                                  <m:t>2</m:t>
                                </m:r>
                              </m:sup>
                            </m:sSubSup>
                          </m:den>
                        </m:f>
                      </m:e>
                    </m:d>
                  </m:oMath>
                </m:oMathPara>
              </a14:m>
              <a:endParaRPr lang="en-US" sz="1100" b="0">
                <a:latin typeface="+mn-lt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t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8400 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hr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=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D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cw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1 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yr</m:t>
                        </m:r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E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W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+mn-lt"/>
                          </a:rPr>
                          <m:t>cw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50 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wks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year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7 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days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week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x</m:t>
                    </m:r>
                    <m:r>
                      <m:rPr>
                        <m:nor/>
                      </m:rPr>
                      <a:rPr lang="en-US" sz="1100" b="0" i="0">
                        <a:latin typeface="+mn-lt"/>
                      </a:rPr>
                      <m:t> 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24 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hrs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+mn-lt"/>
                              </a:rPr>
                              <m:t>day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>
                <a:latin typeface="+mn-lt"/>
              </a:endParaRPr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20288250" y="4848225"/>
              <a:ext cx="9696450" cy="6953250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100" b="1" u="sng"/>
                <a:t>Particulate Emission Factor - Other Than Unpaved Roads</a:t>
              </a:r>
            </a:p>
            <a:p>
              <a:pPr/>
              <a:r>
                <a:rPr lang="en-US" sz="1100" b="0" i="0">
                  <a:latin typeface="Cambria Math"/>
                </a:rPr>
                <a:t>"PE" 〖"</a:t>
              </a:r>
              <a:r>
                <a:rPr lang="en-US" sz="1100" b="0" i="0">
                  <a:latin typeface="Calibri" panose="020F0502020204030204" pitchFamily="34" charset="0"/>
                </a:rPr>
                <a:t>F'</a:t>
              </a:r>
              <a:r>
                <a:rPr lang="en-US" sz="1100" b="0" i="0">
                  <a:latin typeface="Cambria Math"/>
                </a:rPr>
                <a:t>" 〗_"</a:t>
              </a:r>
              <a:r>
                <a:rPr lang="en-US" sz="1100" b="0" i="0">
                  <a:latin typeface="Calibri" panose="020F0502020204030204" pitchFamily="34" charset="0"/>
                </a:rPr>
                <a:t>sc</a:t>
              </a:r>
              <a:r>
                <a:rPr lang="en-US" sz="1100" b="0" i="0">
                  <a:latin typeface="Cambria Math"/>
                </a:rPr>
                <a:t>"  " " (("</a:t>
              </a:r>
              <a:r>
                <a:rPr lang="en-US" sz="1100" b="0" i="0">
                  <a:latin typeface="Calibri" panose="020F0502020204030204" pitchFamily="34" charset="0"/>
                </a:rPr>
                <a:t>m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air</a:t>
              </a:r>
              <a:r>
                <a:rPr lang="en-US" sz="1100" b="0" i="0">
                  <a:latin typeface="Cambria Math"/>
                </a:rPr>
                <a:t>" ^"</a:t>
              </a:r>
              <a:r>
                <a:rPr lang="en-US" sz="1100" b="0" i="0">
                  <a:latin typeface="Calibri" panose="020F0502020204030204" pitchFamily="34" charset="0"/>
                </a:rPr>
                <a:t>3</a:t>
              </a:r>
              <a:r>
                <a:rPr lang="en-US" sz="1100" b="0" i="0">
                  <a:latin typeface="Cambria Math"/>
                </a:rPr>
                <a:t>" )/("</a:t>
              </a:r>
              <a:r>
                <a:rPr lang="en-US" sz="1100" b="0" i="0">
                  <a:latin typeface="Calibri" panose="020F0502020204030204" pitchFamily="34" charset="0"/>
                </a:rPr>
                <a:t>k</a:t>
              </a:r>
              <a:r>
                <a:rPr lang="en-US" sz="1100" b="0" i="0">
                  <a:latin typeface="Cambria Math"/>
                </a:rPr>
                <a:t>" "</a:t>
              </a:r>
              <a:r>
                <a:rPr lang="en-US" sz="1100" b="0" i="0">
                  <a:latin typeface="Calibri" panose="020F0502020204030204" pitchFamily="34" charset="0"/>
                </a:rPr>
                <a:t>g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soil</a:t>
              </a:r>
              <a:r>
                <a:rPr lang="en-US" sz="1100" b="0" i="0">
                  <a:latin typeface="Cambria Math"/>
                </a:rPr>
                <a:t>"  ))"=" </a:t>
              </a:r>
              <a:r>
                <a:rPr lang="en-US" sz="1100" b="0" i="0">
                  <a:latin typeface="Calibri" panose="020F0502020204030204" pitchFamily="34" charset="0"/>
                </a:rPr>
                <a:t> "Q</a:t>
              </a:r>
              <a:r>
                <a:rPr lang="en-US" sz="1100" b="0" i="0">
                  <a:latin typeface="Cambria Math"/>
                </a:rPr>
                <a:t>" /"</a:t>
              </a:r>
              <a:r>
                <a:rPr lang="en-US" sz="1100" b="0" i="0">
                  <a:latin typeface="Calibri" panose="020F0502020204030204" pitchFamily="34" charset="0"/>
                </a:rPr>
                <a:t>C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sa</a:t>
              </a:r>
              <a:r>
                <a:rPr lang="en-US" sz="1100" b="0" i="0">
                  <a:latin typeface="Cambria Math"/>
                </a:rPr>
                <a:t>"   " " (("</a:t>
              </a:r>
              <a:r>
                <a:rPr lang="en-US" sz="1100" b="0" i="0">
                  <a:latin typeface="Calibri" panose="020F0502020204030204" pitchFamily="34" charset="0"/>
                </a:rPr>
                <a:t>g</a:t>
              </a:r>
              <a:r>
                <a:rPr lang="en-US" sz="1100" b="0" i="0">
                  <a:latin typeface="Cambria Math"/>
                </a:rPr>
                <a:t>" /("</a:t>
              </a:r>
              <a:r>
                <a:rPr lang="en-US" sz="1100" b="0" i="0">
                  <a:latin typeface="Calibri" panose="020F0502020204030204" pitchFamily="34" charset="0"/>
                </a:rPr>
                <a:t>m</a:t>
              </a:r>
              <a:r>
                <a:rPr lang="en-US" sz="1100" b="0" i="0">
                  <a:latin typeface="Cambria Math"/>
                </a:rPr>
                <a:t>" ^"</a:t>
              </a:r>
              <a:r>
                <a:rPr lang="en-US" sz="1100" b="0" i="0">
                  <a:latin typeface="Calibri" panose="020F0502020204030204" pitchFamily="34" charset="0"/>
                </a:rPr>
                <a:t>2</a:t>
              </a:r>
              <a:r>
                <a:rPr lang="en-US" sz="1100" b="0" i="0">
                  <a:latin typeface="Cambria Math"/>
                </a:rPr>
                <a:t>"  "</a:t>
              </a:r>
              <a:r>
                <a:rPr lang="en-US" sz="1100" b="0" i="0">
                  <a:latin typeface="Calibri" panose="020F0502020204030204" pitchFamily="34" charset="0"/>
                </a:rPr>
                <a:t>-s</a:t>
              </a:r>
              <a:r>
                <a:rPr lang="en-US" sz="1100" b="0" i="0">
                  <a:latin typeface="Cambria Math"/>
                </a:rPr>
                <a:t>" ))/("</a:t>
              </a:r>
              <a:r>
                <a:rPr lang="en-US" sz="1100" b="0" i="0">
                  <a:latin typeface="Calibri" panose="020F0502020204030204" pitchFamily="34" charset="0"/>
                </a:rPr>
                <a:t>kg</a:t>
              </a:r>
              <a:r>
                <a:rPr lang="en-US" sz="1100" b="0" i="0">
                  <a:latin typeface="Cambria Math"/>
                </a:rPr>
                <a:t>" /"</a:t>
              </a:r>
              <a:r>
                <a:rPr lang="en-US" sz="1100" b="0" i="0">
                  <a:latin typeface="Calibri" panose="020F0502020204030204" pitchFamily="34" charset="0"/>
                </a:rPr>
                <a:t>m</a:t>
              </a:r>
              <a:r>
                <a:rPr lang="en-US" sz="1100" b="0" i="0">
                  <a:latin typeface="Cambria Math"/>
                </a:rPr>
                <a:t>" ^"</a:t>
              </a:r>
              <a:r>
                <a:rPr lang="en-US" sz="1100" b="0" i="0">
                  <a:latin typeface="Calibri" panose="020F0502020204030204" pitchFamily="34" charset="0"/>
                </a:rPr>
                <a:t>3</a:t>
              </a:r>
              <a:r>
                <a:rPr lang="en-US" sz="1100" b="0" i="0">
                  <a:latin typeface="Cambria Math"/>
                </a:rPr>
                <a:t>"  ))" x" </a:t>
              </a:r>
              <a:r>
                <a:rPr lang="en-US" sz="1100" b="0" i="0">
                  <a:latin typeface="Calibri" panose="020F0502020204030204" pitchFamily="34" charset="0"/>
                </a:rPr>
                <a:t> "1</a:t>
              </a:r>
              <a:r>
                <a:rPr lang="en-US" sz="1100" b="0" i="0">
                  <a:latin typeface="Cambria Math"/>
                </a:rPr>
                <a:t>" /"</a:t>
              </a:r>
              <a:r>
                <a:rPr lang="en-US" sz="1100" b="0" i="0">
                  <a:latin typeface="Calibri" panose="020F0502020204030204" pitchFamily="34" charset="0"/>
                </a:rPr>
                <a:t>F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D</a:t>
              </a:r>
              <a:r>
                <a:rPr lang="en-US" sz="1100" b="0" i="0">
                  <a:latin typeface="Cambria Math"/>
                </a:rPr>
                <a:t>"   " x " ├ 1/(</a:t>
              </a:r>
              <a:r>
                <a:rPr lang="en-US" sz="1100" b="0" i="0">
                  <a:latin typeface="Cambria Math"/>
                  <a:ea typeface="Cambria Math"/>
                </a:rPr>
                <a:t>&lt;𝐽_𝑇^′&gt;(𝑔/(𝑚^2−𝑠)) )┤</a:t>
              </a:r>
              <a:endParaRPr lang="en-US" sz="1100" b="0">
                <a:latin typeface="Calibri" panose="020F0502020204030204" pitchFamily="34" charset="0"/>
              </a:endParaRPr>
            </a:p>
            <a:p>
              <a:pPr/>
              <a:r>
                <a:rPr lang="en-US" sz="1100" b="0" i="0">
                  <a:latin typeface="+mn-lt"/>
                </a:rPr>
                <a:t>"Q" /"C" _"sa" 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(("g" /("m" ^"2"  "-s" ))/("kg" /"m" ^"3"  ))</a:t>
              </a:r>
              <a:r>
                <a:rPr lang="en-US" sz="1100" b="0" i="0">
                  <a:latin typeface="Cambria Math"/>
                </a:rPr>
                <a:t>"=A x</a:t>
              </a:r>
              <a:r>
                <a:rPr lang="en-US" sz="1100" b="0" i="0">
                  <a:latin typeface="+mn-lt"/>
                </a:rPr>
                <a:t>"  "exp" ⁡[("ln" "A" _"c"  " " ("acre" )"-B" )^"2" /"C" ]</a:t>
              </a:r>
              <a:endParaRPr lang="en-US" sz="1100" b="0">
                <a:latin typeface="+mn-lt"/>
              </a:endParaRPr>
            </a:p>
            <a:p>
              <a:pPr/>
              <a:r>
                <a:rPr lang="en-US" sz="1100" b="0" i="0">
                  <a:latin typeface="Cambria Math"/>
                </a:rPr>
                <a:t>"&lt;</a:t>
              </a:r>
              <a:r>
                <a:rPr lang="en-US" sz="1100" b="0" i="0">
                  <a:latin typeface="+mn-lt"/>
                </a:rPr>
                <a:t>" "J" _"T" ^"′"  </a:t>
              </a:r>
              <a:r>
                <a:rPr lang="en-US" sz="1100" b="0" i="0">
                  <a:latin typeface="Cambria Math"/>
                </a:rPr>
                <a:t>"&gt;</a:t>
              </a:r>
              <a:r>
                <a:rPr lang="en-US" sz="1100" b="0" i="0">
                  <a:latin typeface="+mn-lt"/>
                </a:rPr>
                <a:t>" ("g" /("m" ^"2"  "-s" ))</a:t>
              </a:r>
              <a:r>
                <a:rPr lang="en-US" sz="1100" b="0" i="0">
                  <a:latin typeface="Cambria Math"/>
                </a:rPr>
                <a:t>"=</a:t>
              </a:r>
              <a:r>
                <a:rPr lang="en-US" sz="1100" b="0" i="0">
                  <a:latin typeface="+mn-lt"/>
                </a:rPr>
                <a:t>"  ("M" _"wind" ^"pc"  " " ("g" )"+" "M" _"excav"  " " ("g" )"+" "M" _"doz"  " " ("g" )"+" "M" _"grade"  " " ("g" )"+" "M" _"till"  " " ("g" ))/("A" _"surf"  " " ("m" ^"2"  )" x T(s)" )</a:t>
              </a:r>
              <a:endParaRPr lang="en-US" sz="1100" b="0">
                <a:latin typeface="+mn-lt"/>
              </a:endParaRPr>
            </a:p>
            <a:p>
              <a:pPr/>
              <a:r>
                <a:rPr lang="en-US" sz="1100" b="0" i="0">
                  <a:latin typeface="+mn-lt"/>
                </a:rPr>
                <a:t>"M" _"wind" ^"pc"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("g" )</a:t>
              </a:r>
              <a:r>
                <a:rPr lang="en-US" sz="1100" b="0" i="0">
                  <a:latin typeface="Cambria Math"/>
                </a:rPr>
                <a:t>"=0.036 x </a:t>
              </a:r>
              <a:r>
                <a:rPr lang="en-US" sz="1100" b="0" i="0">
                  <a:latin typeface="+mn-lt"/>
                </a:rPr>
                <a:t>" ("1-V" )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n-US" sz="1100" b="0" i="0">
                  <a:latin typeface="+mn-lt"/>
                </a:rPr>
                <a:t>" (("U" _"m"  ("m" /"s" ))/("U" _"t"  " " ("m" /"s" ) ))^"3"  </a:t>
              </a:r>
              <a:r>
                <a:rPr lang="en-US" sz="1100" b="0" i="0">
                  <a:latin typeface="Cambria Math"/>
                </a:rPr>
                <a:t>" x F</a:t>
              </a:r>
              <a:r>
                <a:rPr lang="en-US" sz="1100" b="0" i="0">
                  <a:latin typeface="+mn-lt"/>
                </a:rPr>
                <a:t>" ("x" )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n-US" sz="1100" b="0" i="0">
                  <a:latin typeface="+mn-lt"/>
                </a:rPr>
                <a:t>" "A" _"surf"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("m" ^"2"  )</a:t>
              </a:r>
              <a:r>
                <a:rPr lang="en-US" sz="1100" b="0" i="0">
                  <a:latin typeface="Cambria Math"/>
                </a:rPr>
                <a:t>" x ED </a:t>
              </a:r>
              <a:r>
                <a:rPr lang="en-US" sz="1100" b="0" i="0">
                  <a:latin typeface="+mn-lt"/>
                </a:rPr>
                <a:t>" ("yr" )</a:t>
              </a:r>
              <a:r>
                <a:rPr lang="en-US" sz="1100" b="0" i="0">
                  <a:latin typeface="Cambria Math"/>
                </a:rPr>
                <a:t>" x 8760</a:t>
              </a:r>
              <a:r>
                <a:rPr lang="en-US" sz="1100" b="0" i="0">
                  <a:latin typeface="+mn-lt"/>
                </a:rPr>
                <a:t>" ("hr" /"yr" )</a:t>
              </a:r>
              <a:endParaRPr lang="en-US" sz="1100" b="0">
                <a:latin typeface="+mn-lt"/>
              </a:endParaRPr>
            </a:p>
            <a:p>
              <a:pPr/>
              <a:r>
                <a:rPr lang="en-US" sz="1100" b="0" i="0">
                  <a:latin typeface="+mn-lt"/>
                </a:rPr>
                <a:t>"M" _"excav"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("g" )</a:t>
              </a:r>
              <a:r>
                <a:rPr lang="en-US" sz="1100" b="0" i="0">
                  <a:latin typeface="Cambria Math"/>
                </a:rPr>
                <a:t>"=0.35 x 0.0016 x</a:t>
              </a:r>
              <a:r>
                <a:rPr lang="en-US" sz="1100" b="0" i="0">
                  <a:latin typeface="+mn-lt"/>
                </a:rPr>
                <a:t>"  (("U" _"m"  " " ("m" /"s" ))/"2.2" )^"1.3" /(("M" _"m-excav"  " " ("%" ))/"2" )^"1.4"   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n-US" sz="1100" b="0" i="0">
                  <a:latin typeface="+mn-lt"/>
                  <a:ea typeface="Cambria Math"/>
                </a:rPr>
                <a:t>" "ρ" _"soil"  </a:t>
              </a:r>
              <a:r>
                <a:rPr lang="en-US" sz="1100" b="0" i="0">
                  <a:latin typeface="Cambria Math"/>
                  <a:ea typeface="Cambria Math"/>
                </a:rPr>
                <a:t>" </a:t>
              </a:r>
              <a:r>
                <a:rPr lang="en-US" sz="1100" b="0" i="0">
                  <a:latin typeface="+mn-lt"/>
                  <a:ea typeface="Cambria Math"/>
                </a:rPr>
                <a:t>" ("Mg" /"m" ^"3"  )</a:t>
              </a:r>
              <a:r>
                <a:rPr lang="en-US" sz="1100" b="0" i="0">
                  <a:latin typeface="Cambria Math"/>
                  <a:ea typeface="Cambria Math"/>
                </a:rPr>
                <a:t>" x </a:t>
              </a:r>
              <a:r>
                <a:rPr lang="en-US" sz="1100" b="0" i="0">
                  <a:latin typeface="+mn-lt"/>
                  <a:ea typeface="Cambria Math"/>
                </a:rPr>
                <a:t>" "A" _"excav"  </a:t>
              </a:r>
              <a:r>
                <a:rPr lang="en-US" sz="1100" b="0" i="0">
                  <a:latin typeface="Cambria Math"/>
                  <a:ea typeface="Cambria Math"/>
                </a:rPr>
                <a:t>" </a:t>
              </a:r>
              <a:r>
                <a:rPr lang="en-US" sz="1100" b="0" i="0">
                  <a:latin typeface="+mn-lt"/>
                  <a:ea typeface="Cambria Math"/>
                </a:rPr>
                <a:t>" ("m" ^"2"  )</a:t>
              </a:r>
              <a:r>
                <a:rPr lang="en-US" sz="1100" b="0" i="0">
                  <a:latin typeface="Cambria Math"/>
                  <a:ea typeface="Cambria Math"/>
                </a:rPr>
                <a:t>" x </a:t>
              </a:r>
              <a:r>
                <a:rPr lang="en-US" sz="1100" b="0" i="0">
                  <a:latin typeface="+mn-lt"/>
                  <a:ea typeface="Cambria Math"/>
                </a:rPr>
                <a:t>" "d" _"excav"  </a:t>
              </a:r>
              <a:r>
                <a:rPr lang="en-US" sz="1100" b="0" i="0">
                  <a:latin typeface="Cambria Math"/>
                  <a:ea typeface="Cambria Math"/>
                </a:rPr>
                <a:t>" </a:t>
              </a:r>
              <a:r>
                <a:rPr lang="en-US" sz="1100" b="0" i="0">
                  <a:latin typeface="+mn-lt"/>
                  <a:ea typeface="Cambria Math"/>
                </a:rPr>
                <a:t>" ("m" )</a:t>
              </a:r>
              <a:r>
                <a:rPr lang="en-US" sz="1100" b="0" i="0">
                  <a:latin typeface="Cambria Math"/>
                  <a:ea typeface="Cambria Math"/>
                </a:rPr>
                <a:t>" x </a:t>
              </a:r>
              <a:r>
                <a:rPr lang="en-US" sz="1100" b="0" i="0">
                  <a:latin typeface="+mn-lt"/>
                  <a:ea typeface="Cambria Math"/>
                </a:rPr>
                <a:t>" "N" _"A-dump"  </a:t>
              </a:r>
              <a:r>
                <a:rPr lang="en-US" sz="1100" b="0" i="0">
                  <a:latin typeface="Cambria Math"/>
                  <a:ea typeface="Cambria Math"/>
                </a:rPr>
                <a:t>" x 1000 </a:t>
              </a:r>
              <a:r>
                <a:rPr lang="en-US" sz="1100" b="0" i="0">
                  <a:latin typeface="+mn-lt"/>
                  <a:ea typeface="Cambria Math"/>
                </a:rPr>
                <a:t>" ("g" /"kg" )</a:t>
              </a:r>
              <a:endParaRPr lang="en-US" sz="1100" b="0">
                <a:latin typeface="+mn-lt"/>
                <a:ea typeface="Cambria Math"/>
              </a:endParaRPr>
            </a:p>
            <a:p>
              <a:pPr/>
              <a:r>
                <a:rPr lang="en-US" sz="1100" b="0" i="0">
                  <a:latin typeface="+mn-lt"/>
                </a:rPr>
                <a:t>"M" _"doz"  ("g" )</a:t>
              </a:r>
              <a:r>
                <a:rPr lang="en-US" sz="1100" b="0" i="0">
                  <a:latin typeface="Cambria Math"/>
                </a:rPr>
                <a:t>"=0.75 x</a:t>
              </a:r>
              <a:r>
                <a:rPr lang="en-US" sz="1100" b="0" i="0">
                  <a:latin typeface="+mn-lt"/>
                </a:rPr>
                <a:t>"  ("0.45 x " ("s" _"doz"  ("%" ))^"1.5" )/("M" _"m-doz"  " " ("%" ))^"1.4"   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n-US" sz="1100" b="0" i="0">
                  <a:latin typeface="+mn-lt"/>
                </a:rPr>
                <a:t>" </a:t>
              </a:r>
              <a:r>
                <a:rPr lang="el-GR" sz="1100" b="0" i="0">
                  <a:latin typeface="+mn-lt"/>
                  <a:ea typeface="Cambria Math"/>
                </a:rPr>
                <a:t> </a:t>
              </a:r>
              <a:r>
                <a:rPr lang="en-US" sz="1100" b="0" i="0">
                  <a:latin typeface="+mn-lt"/>
                  <a:ea typeface="Cambria Math"/>
                </a:rPr>
                <a:t>(</a:t>
              </a:r>
              <a:r>
                <a:rPr lang="el-GR" sz="1100" b="0" i="0">
                  <a:latin typeface="+mn-lt"/>
                  <a:ea typeface="Cambria Math"/>
                </a:rPr>
                <a:t>"Σ</a:t>
              </a:r>
              <a:r>
                <a:rPr lang="en-US" sz="1100" b="0" i="0">
                  <a:latin typeface="+mn-lt"/>
                  <a:ea typeface="Cambria Math"/>
                </a:rPr>
                <a:t>VK" "T" _"doz"  " (km)" )/("</a:t>
              </a:r>
              <a:r>
                <a:rPr lang="en-US" sz="1100" b="0" i="0">
                  <a:latin typeface="+mn-lt"/>
                </a:rPr>
                <a:t>S" _"doz"  " " ("km" /"hr" ) ) </a:t>
              </a:r>
              <a:r>
                <a:rPr lang="en-US" sz="1100" b="0" i="0">
                  <a:latin typeface="Cambria Math"/>
                </a:rPr>
                <a:t>" x 1000 </a:t>
              </a:r>
              <a:r>
                <a:rPr lang="en-US" sz="1100" b="0" i="0">
                  <a:latin typeface="+mn-lt"/>
                </a:rPr>
                <a:t>" ("g" /"kg" )</a:t>
              </a:r>
              <a:endParaRPr lang="en-US" sz="1100" b="0">
                <a:latin typeface="+mn-lt"/>
              </a:endParaRPr>
            </a:p>
            <a:p>
              <a:pPr/>
              <a:r>
                <a:rPr lang="en-US" sz="1100" b="0" i="0">
                  <a:latin typeface="+mn-lt"/>
                </a:rPr>
                <a:t>"M" _"grade"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("g" )</a:t>
              </a:r>
              <a:r>
                <a:rPr lang="en-US" sz="1100" b="0" i="0">
                  <a:latin typeface="Cambria Math"/>
                </a:rPr>
                <a:t>"=0.60 x 0.0056 x </a:t>
              </a:r>
              <a:r>
                <a:rPr lang="en-US" sz="1100" b="0" i="0">
                  <a:latin typeface="+mn-lt"/>
                </a:rPr>
                <a:t>" "S" _"grade"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("km" /"hr" )^"2"  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l-GR" sz="1100" b="0" i="0">
                  <a:latin typeface="Cambria Math"/>
                  <a:ea typeface="Cambria Math"/>
                </a:rPr>
                <a:t>Σ</a:t>
              </a:r>
              <a:r>
                <a:rPr lang="en-US" sz="1100" b="0" i="0">
                  <a:latin typeface="Cambria Math"/>
                  <a:ea typeface="Cambria Math"/>
                </a:rPr>
                <a:t>VK</a:t>
              </a:r>
              <a:r>
                <a:rPr lang="en-US" sz="1100" b="0" i="0">
                  <a:latin typeface="+mn-lt"/>
                  <a:ea typeface="Cambria Math"/>
                </a:rPr>
                <a:t>" "T" _"grade"  </a:t>
              </a:r>
              <a:r>
                <a:rPr lang="en-US" sz="1100" b="0" i="0">
                  <a:latin typeface="Cambria Math"/>
                  <a:ea typeface="Cambria Math"/>
                </a:rPr>
                <a:t>" </a:t>
              </a:r>
              <a:r>
                <a:rPr lang="en-US" sz="1100" b="0" i="0">
                  <a:latin typeface="+mn-lt"/>
                  <a:ea typeface="Cambria Math"/>
                </a:rPr>
                <a:t>" ("km" )</a:t>
              </a:r>
              <a:r>
                <a:rPr lang="en-US" sz="1100" b="0" i="0">
                  <a:latin typeface="Cambria Math"/>
                  <a:ea typeface="Cambria Math"/>
                </a:rPr>
                <a:t>" x 1000 </a:t>
              </a:r>
              <a:r>
                <a:rPr lang="en-US" sz="1100" b="0" i="0">
                  <a:latin typeface="+mn-lt"/>
                  <a:ea typeface="Cambria Math"/>
                </a:rPr>
                <a:t>" ("g" /"kg" )</a:t>
              </a:r>
              <a:endParaRPr lang="en-US" sz="1100" b="0">
                <a:latin typeface="+mn-lt"/>
                <a:ea typeface="Cambria Math"/>
              </a:endParaRPr>
            </a:p>
            <a:p>
              <a:pPr/>
              <a:r>
                <a:rPr lang="en-US" sz="1100" b="0" i="0">
                  <a:latin typeface="+mn-lt"/>
                </a:rPr>
                <a:t>"M" _"till"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("g" )</a:t>
              </a:r>
              <a:r>
                <a:rPr lang="en-US" sz="1100" b="0" i="0">
                  <a:latin typeface="Cambria Math"/>
                </a:rPr>
                <a:t>"=1.1 x </a:t>
              </a:r>
              <a:r>
                <a:rPr lang="en-US" sz="1100" b="0" i="0">
                  <a:latin typeface="+mn-lt"/>
                </a:rPr>
                <a:t>" "s" _"till"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("%" )^"0.6"  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n-US" sz="1100" b="0" i="0">
                  <a:latin typeface="+mn-lt"/>
                </a:rPr>
                <a:t>" "A" _"c-till"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("acres" )</a:t>
              </a:r>
              <a:r>
                <a:rPr lang="en-US" sz="1100" b="0" i="0">
                  <a:latin typeface="Cambria Math"/>
                </a:rPr>
                <a:t>" x 4047 </a:t>
              </a:r>
              <a:r>
                <a:rPr lang="en-US" sz="1100" b="0" i="0">
                  <a:latin typeface="+mn-lt"/>
                </a:rPr>
                <a:t>" ("m" ^"2" /"acre" )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n-US" sz="1100" b="0" i="0">
                  <a:latin typeface="+mn-lt"/>
                </a:rPr>
                <a:t>" 〖"10" 〗^"-4"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("ha" /"m" ^"2"  )</a:t>
              </a:r>
              <a:r>
                <a:rPr lang="en-US" sz="1100" b="0" i="0">
                  <a:latin typeface="Cambria Math"/>
                </a:rPr>
                <a:t>" x 1000 </a:t>
              </a:r>
              <a:r>
                <a:rPr lang="en-US" sz="1100" b="0" i="0">
                  <a:latin typeface="+mn-lt"/>
                </a:rPr>
                <a:t>" ("g" /"kg" )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n-US" sz="1100" b="0" i="0">
                  <a:latin typeface="+mn-lt"/>
                </a:rPr>
                <a:t>" "N" _"A-till" </a:t>
              </a:r>
              <a:endParaRPr lang="en-US" sz="1100" b="0">
                <a:latin typeface="+mn-lt"/>
              </a:endParaRPr>
            </a:p>
            <a:p>
              <a:pPr/>
              <a:r>
                <a:rPr lang="el-GR" sz="1100" b="0" i="0">
                  <a:latin typeface="Cambria Math"/>
                  <a:ea typeface="Cambria Math"/>
                </a:rPr>
                <a:t>"Σ</a:t>
              </a:r>
              <a:r>
                <a:rPr lang="en-US" sz="1100" b="0" i="0">
                  <a:latin typeface="Cambria Math"/>
                  <a:ea typeface="Cambria Math"/>
                </a:rPr>
                <a:t>VK</a:t>
              </a:r>
              <a:r>
                <a:rPr lang="en-US" sz="1100" b="0" i="0">
                  <a:latin typeface="+mn-lt"/>
                  <a:ea typeface="Cambria Math"/>
                </a:rPr>
                <a:t>" "T" _"grade"  </a:t>
              </a:r>
              <a:r>
                <a:rPr lang="en-US" sz="1100" b="0" i="0">
                  <a:latin typeface="Cambria Math"/>
                  <a:ea typeface="Cambria Math"/>
                </a:rPr>
                <a:t>" </a:t>
              </a:r>
              <a:r>
                <a:rPr lang="en-US" sz="1100" b="0" i="0">
                  <a:latin typeface="+mn-lt"/>
                  <a:ea typeface="Cambria Math"/>
                </a:rPr>
                <a:t>" ("km" )</a:t>
              </a:r>
              <a:r>
                <a:rPr lang="en-US" sz="1100" b="0" i="0">
                  <a:latin typeface="Cambria Math"/>
                  <a:ea typeface="Cambria Math"/>
                </a:rPr>
                <a:t>"=</a:t>
              </a:r>
              <a:r>
                <a:rPr lang="en-US" sz="1100" b="0" i="0">
                  <a:latin typeface="+mn-lt"/>
                  <a:ea typeface="Cambria Math"/>
                </a:rPr>
                <a:t>" "A" _"c-grade"  </a:t>
              </a:r>
              <a:r>
                <a:rPr lang="en-US" sz="1100" b="0" i="0">
                  <a:latin typeface="Cambria Math"/>
                  <a:ea typeface="Cambria Math"/>
                </a:rPr>
                <a:t>" </a:t>
              </a:r>
              <a:r>
                <a:rPr lang="en-US" sz="1100" b="0" i="0">
                  <a:latin typeface="+mn-lt"/>
                  <a:ea typeface="Cambria Math"/>
                </a:rPr>
                <a:t>" ("acres" )</a:t>
              </a:r>
              <a:r>
                <a:rPr lang="en-US" sz="1100" b="0" i="0">
                  <a:latin typeface="Cambria Math"/>
                  <a:ea typeface="Cambria Math"/>
                </a:rPr>
                <a:t>" x 4047 </a:t>
              </a:r>
              <a:r>
                <a:rPr lang="en-US" sz="1100" b="0" i="0">
                  <a:latin typeface="+mn-lt"/>
                  <a:ea typeface="Cambria Math"/>
                </a:rPr>
                <a:t>" ("m" ^"2" /"acre" )</a:t>
              </a:r>
              <a:r>
                <a:rPr lang="en-US" sz="1100" b="0" i="0">
                  <a:latin typeface="Cambria Math"/>
                  <a:ea typeface="Cambria Math"/>
                </a:rPr>
                <a:t>" x</a:t>
              </a:r>
              <a:r>
                <a:rPr lang="en-US" sz="1100" b="0" i="0">
                  <a:latin typeface="+mn-lt"/>
                  <a:ea typeface="Cambria Math"/>
                </a:rPr>
                <a:t>"  "1" /("B" _"g"  " (m)" ) </a:t>
              </a:r>
              <a:r>
                <a:rPr lang="en-US" sz="1100" b="0" i="0">
                  <a:latin typeface="Cambria Math"/>
                  <a:ea typeface="Cambria Math"/>
                </a:rPr>
                <a:t>" x</a:t>
              </a:r>
              <a:r>
                <a:rPr lang="en-US" sz="1100" b="0" i="0">
                  <a:latin typeface="+mn-lt"/>
                  <a:ea typeface="Cambria Math"/>
                </a:rPr>
                <a:t>"  "1" /"1000 " ("m" /"km" )  </a:t>
              </a:r>
              <a:r>
                <a:rPr lang="en-US" sz="1100" b="0" i="0">
                  <a:latin typeface="Cambria Math"/>
                  <a:ea typeface="Cambria Math"/>
                </a:rPr>
                <a:t>" x </a:t>
              </a:r>
              <a:r>
                <a:rPr lang="en-US" sz="1100" b="0" i="0">
                  <a:latin typeface="+mn-lt"/>
                  <a:ea typeface="Cambria Math"/>
                </a:rPr>
                <a:t>" "N" _"A-grade" </a:t>
              </a:r>
              <a:endParaRPr lang="en-US" sz="1100" b="0">
                <a:latin typeface="+mn-lt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l-GR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"Σ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VK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"T" _"doz"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("km"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"A" _"c-doz"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("acres"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x 4047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("m" ^"2" /"acre"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x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"1" /("B" _"g"  " (m)" )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x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"1" /"1000 " ("m" /"km" )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x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"N" _"A-doz" </a:t>
              </a:r>
              <a:endParaRPr lang="en-US" sz="1100" b="0">
                <a:latin typeface="+mn-lt"/>
              </a:endParaRPr>
            </a:p>
            <a:p>
              <a:pPr/>
              <a:r>
                <a:rPr lang="en-US" sz="1100" b="0" i="0">
                  <a:latin typeface="Cambria Math"/>
                </a:rPr>
                <a:t>"T </a:t>
              </a:r>
              <a:r>
                <a:rPr lang="en-US" sz="1100" b="0" i="0">
                  <a:latin typeface="+mn-lt"/>
                </a:rPr>
                <a:t>" ("7200000 s" )</a:t>
              </a:r>
              <a:r>
                <a:rPr lang="en-US" sz="1100" b="0" i="0">
                  <a:latin typeface="Cambria Math"/>
                </a:rPr>
                <a:t>"=E</a:t>
              </a:r>
              <a:r>
                <a:rPr lang="en-US" sz="1100" b="0" i="0">
                  <a:latin typeface="+mn-lt"/>
                </a:rPr>
                <a:t>" "D" _"cw"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("1 yr" )</a:t>
              </a:r>
              <a:r>
                <a:rPr lang="en-US" sz="1100" b="0" i="0">
                  <a:latin typeface="Cambria Math"/>
                </a:rPr>
                <a:t>" x E</a:t>
              </a:r>
              <a:r>
                <a:rPr lang="en-US" sz="1100" b="0" i="0">
                  <a:latin typeface="+mn-lt"/>
                </a:rPr>
                <a:t>" "F" _"cw"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("250 days" /"year" )</a:t>
              </a:r>
              <a:r>
                <a:rPr lang="en-US" sz="1100" b="0" i="0">
                  <a:latin typeface="Cambria Math"/>
                </a:rPr>
                <a:t>" x E</a:t>
              </a:r>
              <a:r>
                <a:rPr lang="en-US" sz="1100" b="0" i="0">
                  <a:latin typeface="+mn-lt"/>
                </a:rPr>
                <a:t>" "T" _"cw"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("8 hrs" /"day" )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n-US" sz="1100" b="0" i="0">
                  <a:latin typeface="+mn-lt"/>
                </a:rPr>
                <a:t>" ("3600 s" /"hr" )</a:t>
              </a:r>
              <a:endParaRPr lang="en-US" sz="1100" b="0">
                <a:latin typeface="+mn-lt"/>
              </a:endParaRPr>
            </a:p>
            <a:p>
              <a:pPr/>
              <a:r>
                <a:rPr lang="en-US" sz="1100" b="0" i="0">
                  <a:latin typeface="+mn-lt"/>
                </a:rPr>
                <a:t>"F" _"D"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("0.18584" )</a:t>
              </a:r>
              <a:r>
                <a:rPr lang="en-US" sz="1100" b="0" i="0">
                  <a:latin typeface="Cambria Math"/>
                </a:rPr>
                <a:t>"=0.1852+</a:t>
              </a:r>
              <a:r>
                <a:rPr lang="en-US" sz="1100" b="0" i="0">
                  <a:latin typeface="+mn-lt"/>
                </a:rPr>
                <a:t>" ("5.3537" /"t" _"c"  )</a:t>
              </a:r>
              <a:r>
                <a:rPr lang="en-US" sz="1100" b="0" i="0">
                  <a:latin typeface="Cambria Math"/>
                </a:rPr>
                <a:t>"+</a:t>
              </a:r>
              <a:r>
                <a:rPr lang="en-US" sz="1100" b="0" i="0">
                  <a:latin typeface="+mn-lt"/>
                </a:rPr>
                <a:t>" ("-"  "9.6318" /("t" _"c" ^"2"  ))</a:t>
              </a:r>
              <a:endParaRPr lang="en-US" sz="1100" b="0">
                <a:latin typeface="+mn-lt"/>
              </a:endParaRPr>
            </a:p>
            <a:p>
              <a:pPr/>
              <a:r>
                <a:rPr lang="en-US" sz="1100" b="0" i="0">
                  <a:latin typeface="+mn-lt"/>
                </a:rPr>
                <a:t>"t" _"c"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("8400 hr" )</a:t>
              </a:r>
              <a:r>
                <a:rPr lang="en-US" sz="1100" b="0" i="0">
                  <a:latin typeface="Cambria Math"/>
                </a:rPr>
                <a:t>"=E</a:t>
              </a:r>
              <a:r>
                <a:rPr lang="en-US" sz="1100" b="0" i="0">
                  <a:latin typeface="+mn-lt"/>
                </a:rPr>
                <a:t>" "D" _"cw"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("1 yr" )</a:t>
              </a:r>
              <a:r>
                <a:rPr lang="en-US" sz="1100" b="0" i="0">
                  <a:latin typeface="Cambria Math"/>
                </a:rPr>
                <a:t>" x E</a:t>
              </a:r>
              <a:r>
                <a:rPr lang="en-US" sz="1100" b="0" i="0">
                  <a:latin typeface="+mn-lt"/>
                </a:rPr>
                <a:t>" "W" _"cw"  </a:t>
              </a:r>
              <a:r>
                <a:rPr lang="en-US" sz="1100" b="0" i="0">
                  <a:latin typeface="Cambria Math"/>
                </a:rPr>
                <a:t>" </a:t>
              </a:r>
              <a:r>
                <a:rPr lang="en-US" sz="1100" b="0" i="0">
                  <a:latin typeface="+mn-lt"/>
                </a:rPr>
                <a:t>" ("50 wks" /"year" )</a:t>
              </a:r>
              <a:r>
                <a:rPr lang="en-US" sz="1100" b="0" i="0">
                  <a:latin typeface="Cambria Math"/>
                </a:rPr>
                <a:t>" x </a:t>
              </a:r>
              <a:r>
                <a:rPr lang="en-US" sz="1100" b="0" i="0">
                  <a:latin typeface="+mn-lt"/>
                </a:rPr>
                <a:t>" ("7 days" /"week" )</a:t>
              </a:r>
              <a:r>
                <a:rPr lang="en-US" sz="1100" b="0" i="0">
                  <a:latin typeface="Cambria Math"/>
                </a:rPr>
                <a:t>" x  </a:t>
              </a:r>
              <a:r>
                <a:rPr lang="en-US" sz="1100" b="0" i="0">
                  <a:latin typeface="+mn-lt"/>
                </a:rPr>
                <a:t>" ("24 hrs" /"day" )</a:t>
              </a:r>
              <a:endParaRPr lang="en-US" sz="1100">
                <a:latin typeface="+mn-lt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</xdr:row>
      <xdr:rowOff>0</xdr:rowOff>
    </xdr:from>
    <xdr:ext cx="10372725" cy="26574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8096250" y="190500"/>
              <a:ext cx="10372725" cy="2657475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Inhalation (with half-life</a:t>
              </a:r>
              <a:r>
                <a:rPr lang="en-US" sz="1100" b="1" u="sng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decay)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air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inh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decay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TR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t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λ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yr</m:t>
                                    </m:r>
                                  </m:den>
                                </m:f>
                              </m:e>
                            </m:d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i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risk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pCi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8 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24 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hours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IR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A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60 </m:t>
                                </m:r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3</m:t>
                                    </m:r>
                                  </m:sup>
                                </m:sSup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</m:den>
                    </m:f>
                  </m:oMath>
                </m:oMathPara>
              </a14:m>
              <a:endParaRPr lang="en-US" sz="1100">
                <a:latin typeface="+mn-lt"/>
              </a:endParaRPr>
            </a:p>
            <a:p>
              <a:r>
                <a:rPr lang="en-US" sz="1100" b="1" u="sng">
                  <a:latin typeface="+mn-lt"/>
                </a:rPr>
                <a:t>External exposure</a:t>
              </a:r>
              <a:r>
                <a:rPr lang="en-US" sz="1100" b="1" u="sng" baseline="0">
                  <a:latin typeface="+mn-lt"/>
                </a:rPr>
                <a:t> to ionizing radiation (with half-life decay)</a:t>
              </a: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air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sub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decay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TR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t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λ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yr</m:t>
                                    </m:r>
                                  </m:den>
                                </m:f>
                              </m:e>
                            </m:d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sub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risk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/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pCi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/</m:t>
                                </m:r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3</m:t>
                                    </m:r>
                                  </m:sup>
                                </m:s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365 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8 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24 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hours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a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1.0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US" sz="1100">
                <a:latin typeface="+mn-lt"/>
              </a:endParaRPr>
            </a:p>
            <a:p>
              <a:r>
                <a:rPr lang="en-US" sz="1100" b="1" u="sng">
                  <a:latin typeface="+mn-lt"/>
                </a:rPr>
                <a:t>Total (with half</a:t>
              </a:r>
              <a:r>
                <a:rPr lang="en-US" sz="1100" b="1" u="sng" baseline="0">
                  <a:latin typeface="+mn-lt"/>
                </a:rPr>
                <a:t> - life decay)</a:t>
              </a: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air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tot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decay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pCi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1</m:t>
                        </m:r>
                      </m:num>
                      <m:den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1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PR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G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cw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air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inh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decay</m:t>
                                </m:r>
                              </m:sub>
                            </m:sSub>
                          </m:den>
                        </m:f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+</m:t>
                        </m:r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1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PR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G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cw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air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sub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decay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en-US" sz="1100">
                <a:latin typeface="Calibri" panose="020F0502020204030204" pitchFamily="34" charset="0"/>
              </a:endParaRP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8096250" y="190500"/>
              <a:ext cx="10372725" cy="2657475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Inhalation (with half-life</a:t>
              </a:r>
              <a:r>
                <a:rPr lang="en-US" sz="1100" b="1" u="sng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decay)</a:t>
              </a:r>
              <a:endParaRPr lang="en-US">
                <a:effectLst/>
              </a:endParaRPr>
            </a:p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"G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"cw−air−inh−decay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"pCi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∕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"m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"3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 )"="  ├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"TR x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"t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"yr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λ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"yr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)┤/((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"1−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"e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^(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"−λ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"t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 )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S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"F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"i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"risk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"pCi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E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"F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"E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"50 weeks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"yr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x D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"5 days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"week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E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"D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"1 yr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"x E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"T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"8 hr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"day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"1 day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"24 hours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IR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"A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"60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"m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"3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"day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 )</a:t>
              </a:r>
              <a:endParaRPr lang="en-US" sz="1100">
                <a:latin typeface="+mn-lt"/>
              </a:endParaRPr>
            </a:p>
            <a:p>
              <a:r>
                <a:rPr lang="en-US" sz="1100" b="1" u="sng">
                  <a:latin typeface="+mn-lt"/>
                </a:rPr>
                <a:t>External exposure</a:t>
              </a:r>
              <a:r>
                <a:rPr lang="en-US" sz="1100" b="1" u="sng" baseline="0">
                  <a:latin typeface="+mn-lt"/>
                </a:rPr>
                <a:t> to ionizing radiation (with half-life decay)</a:t>
              </a:r>
            </a:p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"G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"cw−air−sub−decay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"pCi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∕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"m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"3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 )"="  ├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"TR x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"t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"yr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λ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"yr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)┤/((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"1−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"e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^(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"−λ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"t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 )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S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"F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"sub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"risk/yr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"pCi/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"m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"3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E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"F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"E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"50 weeks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"yr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x D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"5 days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"week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"1 yr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"365 days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E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"D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"1 yr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"x E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"T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"cw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"8 hr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"day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"1 day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"24 hours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x GS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"F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"a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"1.0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) )</a:t>
              </a:r>
              <a:endParaRPr lang="en-US" sz="1100">
                <a:latin typeface="+mn-lt"/>
              </a:endParaRPr>
            </a:p>
            <a:p>
              <a:r>
                <a:rPr lang="en-US" sz="1100" b="1" u="sng">
                  <a:latin typeface="+mn-lt"/>
                </a:rPr>
                <a:t>Total (with half</a:t>
              </a:r>
              <a:r>
                <a:rPr lang="en-US" sz="1100" b="1" u="sng" baseline="0">
                  <a:latin typeface="+mn-lt"/>
                </a:rPr>
                <a:t> - life decay)</a:t>
              </a:r>
            </a:p>
            <a:p>
              <a:pPr/>
              <a:r>
                <a:rPr lang="en-US" sz="1100" b="0" i="0">
                  <a:latin typeface="Cambria Math"/>
                </a:rPr>
                <a:t>"PR" </a:t>
              </a:r>
              <a:r>
                <a:rPr lang="en-US" sz="1100" b="0" i="0">
                  <a:latin typeface="Calibri" panose="020F0502020204030204" pitchFamily="34" charset="0"/>
                </a:rPr>
                <a:t>"G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cw−air−tot−decay</a:t>
              </a:r>
              <a:r>
                <a:rPr lang="en-US" sz="1100" b="0" i="0">
                  <a:latin typeface="Cambria Math"/>
                </a:rPr>
                <a:t>"  " " ("</a:t>
              </a:r>
              <a:r>
                <a:rPr lang="en-US" sz="1100" b="0" i="0">
                  <a:latin typeface="Calibri" panose="020F0502020204030204" pitchFamily="34" charset="0"/>
                </a:rPr>
                <a:t>pCi</a:t>
              </a:r>
              <a:r>
                <a:rPr lang="en-US" sz="1100" b="0" i="0">
                  <a:latin typeface="Cambria Math"/>
                </a:rPr>
                <a:t>" ∕"</a:t>
              </a:r>
              <a:r>
                <a:rPr lang="en-US" sz="1100" b="0" i="0">
                  <a:latin typeface="Calibri" panose="020F0502020204030204" pitchFamily="34" charset="0"/>
                </a:rPr>
                <a:t>m</a:t>
              </a:r>
              <a:r>
                <a:rPr lang="en-US" sz="1100" b="0" i="0">
                  <a:latin typeface="Cambria Math"/>
                </a:rPr>
                <a:t>" ^"</a:t>
              </a:r>
              <a:r>
                <a:rPr lang="en-US" sz="1100" b="0" i="0">
                  <a:latin typeface="Calibri" panose="020F0502020204030204" pitchFamily="34" charset="0"/>
                </a:rPr>
                <a:t>3</a:t>
              </a:r>
              <a:r>
                <a:rPr lang="en-US" sz="1100" b="0" i="0">
                  <a:latin typeface="Cambria Math"/>
                </a:rPr>
                <a:t>"  )"=" </a:t>
              </a:r>
              <a:r>
                <a:rPr lang="en-US" sz="1100" b="0" i="0">
                  <a:latin typeface="Calibri" panose="020F0502020204030204" pitchFamily="34" charset="0"/>
                </a:rPr>
                <a:t> "1</a:t>
              </a:r>
              <a:r>
                <a:rPr lang="en-US" sz="1100" b="0" i="0">
                  <a:latin typeface="Cambria Math"/>
                </a:rPr>
                <a:t>" /("</a:t>
              </a:r>
              <a:r>
                <a:rPr lang="en-US" sz="1100" b="0" i="0">
                  <a:latin typeface="Calibri" panose="020F0502020204030204" pitchFamily="34" charset="0"/>
                </a:rPr>
                <a:t>1</a:t>
              </a:r>
              <a:r>
                <a:rPr lang="en-US" sz="1100" b="0" i="0">
                  <a:latin typeface="Cambria Math"/>
                </a:rPr>
                <a:t>" /("</a:t>
              </a:r>
              <a:r>
                <a:rPr lang="en-US" sz="1100" b="0" i="0">
                  <a:latin typeface="Calibri" panose="020F0502020204030204" pitchFamily="34" charset="0"/>
                </a:rPr>
                <a:t>PR</a:t>
              </a:r>
              <a:r>
                <a:rPr lang="en-US" sz="1100" b="0" i="0">
                  <a:latin typeface="Cambria Math"/>
                </a:rPr>
                <a:t>" "</a:t>
              </a:r>
              <a:r>
                <a:rPr lang="en-US" sz="1100" b="0" i="0">
                  <a:latin typeface="Calibri" panose="020F0502020204030204" pitchFamily="34" charset="0"/>
                </a:rPr>
                <a:t>G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cw−air−inh−decay</a:t>
              </a:r>
              <a:r>
                <a:rPr lang="en-US" sz="1100" b="0" i="0">
                  <a:latin typeface="Cambria Math"/>
                </a:rPr>
                <a:t>"  ) "</a:t>
              </a:r>
              <a:r>
                <a:rPr lang="en-US" sz="1100" b="0" i="0">
                  <a:latin typeface="Calibri" panose="020F0502020204030204" pitchFamily="34" charset="0"/>
                </a:rPr>
                <a:t>+</a:t>
              </a:r>
              <a:r>
                <a:rPr lang="en-US" sz="1100" b="0" i="0">
                  <a:latin typeface="Cambria Math"/>
                </a:rPr>
                <a:t>"  "</a:t>
              </a:r>
              <a:r>
                <a:rPr lang="en-US" sz="1100" b="0" i="0">
                  <a:latin typeface="Calibri" panose="020F0502020204030204" pitchFamily="34" charset="0"/>
                </a:rPr>
                <a:t>1</a:t>
              </a:r>
              <a:r>
                <a:rPr lang="en-US" sz="1100" b="0" i="0">
                  <a:latin typeface="Cambria Math"/>
                </a:rPr>
                <a:t>" /("</a:t>
              </a:r>
              <a:r>
                <a:rPr lang="en-US" sz="1100" b="0" i="0">
                  <a:latin typeface="Calibri" panose="020F0502020204030204" pitchFamily="34" charset="0"/>
                </a:rPr>
                <a:t>PR</a:t>
              </a:r>
              <a:r>
                <a:rPr lang="en-US" sz="1100" b="0" i="0">
                  <a:latin typeface="Cambria Math"/>
                </a:rPr>
                <a:t>" "</a:t>
              </a:r>
              <a:r>
                <a:rPr lang="en-US" sz="1100" b="0" i="0">
                  <a:latin typeface="Calibri" panose="020F0502020204030204" pitchFamily="34" charset="0"/>
                </a:rPr>
                <a:t>G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cw−air−sub−decay</a:t>
              </a:r>
              <a:r>
                <a:rPr lang="en-US" sz="1100" b="0" i="0">
                  <a:latin typeface="Cambria Math"/>
                </a:rPr>
                <a:t>"  ))</a:t>
              </a:r>
              <a:endParaRPr lang="en-US" sz="1100">
                <a:latin typeface="Calibri" panose="020F0502020204030204" pitchFamily="34" charset="0"/>
              </a:endParaRPr>
            </a:p>
          </xdr:txBody>
        </xdr:sp>
      </mc:Fallback>
    </mc:AlternateContent>
    <xdr:clientData/>
  </xdr:oneCellAnchor>
  <xdr:oneCellAnchor>
    <xdr:from>
      <xdr:col>13</xdr:col>
      <xdr:colOff>0</xdr:colOff>
      <xdr:row>15</xdr:row>
      <xdr:rowOff>1</xdr:rowOff>
    </xdr:from>
    <xdr:ext cx="10372725" cy="23431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8096250" y="3028951"/>
              <a:ext cx="10372725" cy="2343150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Inhalation (without half-life</a:t>
              </a:r>
              <a:r>
                <a:rPr lang="en-US" sz="1100" b="1" u="sng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decay)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air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inh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nodecay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TR</m:t>
                            </m:r>
                          </m:e>
                        </m:d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i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risk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pCi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8 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24 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hours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IR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A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60 </m:t>
                                </m:r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3</m:t>
                                    </m:r>
                                  </m:sup>
                                </m:sSup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</m:den>
                    </m:f>
                  </m:oMath>
                </m:oMathPara>
              </a14:m>
              <a:endParaRPr lang="en-US" sz="1100">
                <a:latin typeface="+mn-lt"/>
              </a:endParaRPr>
            </a:p>
            <a:p>
              <a:r>
                <a:rPr lang="en-US" sz="1100" b="1" u="sng">
                  <a:latin typeface="+mn-lt"/>
                </a:rPr>
                <a:t>External exposure</a:t>
              </a:r>
              <a:r>
                <a:rPr lang="en-US" sz="1100" b="1" u="sng" baseline="0">
                  <a:latin typeface="+mn-lt"/>
                </a:rPr>
                <a:t> to ionizing radiation (without half-life decay)</a:t>
              </a: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air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sub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nodecay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TR</m:t>
                            </m:r>
                          </m:e>
                        </m:d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sub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risk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/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pCi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/</m:t>
                                </m:r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m</m:t>
                                    </m:r>
                                  </m:e>
                                  <m:sup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3</m:t>
                                    </m:r>
                                  </m:sup>
                                </m:s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365 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8 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24 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hours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a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1.0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US" sz="1100">
                <a:latin typeface="+mn-lt"/>
              </a:endParaRPr>
            </a:p>
            <a:p>
              <a:r>
                <a:rPr lang="en-US" sz="1100" b="1" u="sng">
                  <a:latin typeface="+mn-lt"/>
                </a:rPr>
                <a:t>Total (without half</a:t>
              </a:r>
              <a:r>
                <a:rPr lang="en-US" sz="1100" b="1" u="sng" baseline="0">
                  <a:latin typeface="+mn-lt"/>
                </a:rPr>
                <a:t> - life decay)</a:t>
              </a: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PR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G</m:t>
                        </m:r>
                      </m:e>
                      <m:sub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cw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air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tot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nodecay</m:t>
                        </m:r>
                      </m:sub>
                    </m:sSub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pCi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latin typeface="Calibri" panose="020F0502020204030204" pitchFamily="34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1</m:t>
                        </m:r>
                      </m:num>
                      <m:den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1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PR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G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cw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air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inh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nodecay</m:t>
                                </m:r>
                              </m:sub>
                            </m:sSub>
                          </m:den>
                        </m:f>
                        <m:r>
                          <m:rPr>
                            <m:nor/>
                          </m:rPr>
                          <a:rPr lang="en-US" sz="1100" b="0" i="0">
                            <a:latin typeface="Calibri" panose="020F0502020204030204" pitchFamily="34" charset="0"/>
                          </a:rPr>
                          <m:t>+</m:t>
                        </m:r>
                        <m:f>
                          <m:f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1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libri" panose="020F0502020204030204" pitchFamily="34" charset="0"/>
                              </a:rPr>
                              <m:t>PR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G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cw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air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sub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libri" panose="020F0502020204030204" pitchFamily="34" charset="0"/>
                                  </a:rPr>
                                  <m:t>nodecay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en-US" sz="1100">
                <a:latin typeface="Calibri" panose="020F0502020204030204" pitchFamily="34" charset="0"/>
              </a:endParaRPr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8096250" y="3028951"/>
              <a:ext cx="10372725" cy="2343150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Inhalation (without half-life</a:t>
              </a:r>
              <a:r>
                <a:rPr lang="en-US" sz="1100" b="1" u="sng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decay)</a:t>
              </a:r>
              <a:endParaRPr lang="en-US">
                <a:effectLst/>
              </a:endParaRPr>
            </a:p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"G" _"cw-air-inh-nodecay"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∕"m" ^"3" 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├ "TR" ┤/("S" "F" _"i"  " " ("risk" /"pCi" )" x E" "F" _"cw"  " " ("E" "W" _"cw"  " "  "50 weeks" /"yr"  " x D" "W" _"cw"   "5 days" /"week" )" x E" "D" _"cw"  " " ("1 yr" )"x E" "T" _"cw"  " " ("8 hr" /"day" )" x " ("1 day" /"24 hours" )" x IR" "A" _"cw"  " " (("60 " "m" ^"3" )/"day" ) )</a:t>
              </a:r>
              <a:endParaRPr lang="en-US" sz="1100">
                <a:latin typeface="+mn-lt"/>
              </a:endParaRPr>
            </a:p>
            <a:p>
              <a:pPr/>
              <a:r>
                <a:rPr lang="en-US" sz="1100" b="1" u="sng">
                  <a:latin typeface="+mn-lt"/>
                </a:rPr>
                <a:t>External exposure</a:t>
              </a:r>
              <a:r>
                <a:rPr lang="en-US" sz="1100" b="1" u="sng" baseline="0">
                  <a:latin typeface="+mn-lt"/>
                </a:rPr>
                <a:t> to ionizing radiation (without half-life decay)</a:t>
              </a:r>
            </a:p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"G" _"cw-air-sub-nodecay" 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∕"m" ^"3" 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├ "TR" ┤/("S" "F" _"sub"  " " ("risk/yr" /("pCi/" "m" ^"3"  " " ))" x E" "F" _"cw"  " " ("E" "W" _"cw"  " "  "50 weeks" /"yr"  " x D" "W" _"cw"   "5 days" /"week" )" x " ("1 yr" /"365 days" )" x E" "D" _"cw"  " " ("1 yr" )"x E" "T" _"cw"  " " ("8 hr" /"day" )" x " ("1 day" /"24 hours" )" x GS" "F" _"a"  " " ("1.0" ) )</a:t>
              </a:r>
              <a:endParaRPr lang="en-US" sz="1100">
                <a:latin typeface="+mn-lt"/>
              </a:endParaRPr>
            </a:p>
            <a:p>
              <a:pPr/>
              <a:r>
                <a:rPr lang="en-US" sz="1100" b="1" u="sng">
                  <a:latin typeface="+mn-lt"/>
                </a:rPr>
                <a:t>Total (without half</a:t>
              </a:r>
              <a:r>
                <a:rPr lang="en-US" sz="1100" b="1" u="sng" baseline="0">
                  <a:latin typeface="+mn-lt"/>
                </a:rPr>
                <a:t> - life decay)</a:t>
              </a:r>
            </a:p>
            <a:p>
              <a:pPr/>
              <a:r>
                <a:rPr lang="en-US" sz="1100" b="0" i="0">
                  <a:latin typeface="Cambria Math"/>
                </a:rPr>
                <a:t>"PR" </a:t>
              </a:r>
              <a:r>
                <a:rPr lang="en-US" sz="1100" b="0" i="0">
                  <a:latin typeface="Calibri" panose="020F0502020204030204" pitchFamily="34" charset="0"/>
                </a:rPr>
                <a:t>"G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cw-air-tot-nodecay</a:t>
              </a:r>
              <a:r>
                <a:rPr lang="en-US" sz="1100" b="0" i="0">
                  <a:latin typeface="Cambria Math"/>
                </a:rPr>
                <a:t>"  " " ("</a:t>
              </a:r>
              <a:r>
                <a:rPr lang="en-US" sz="1100" b="0" i="0">
                  <a:latin typeface="Calibri" panose="020F0502020204030204" pitchFamily="34" charset="0"/>
                </a:rPr>
                <a:t>pCi</a:t>
              </a:r>
              <a:r>
                <a:rPr lang="en-US" sz="1100" b="0" i="0">
                  <a:latin typeface="Cambria Math"/>
                </a:rPr>
                <a:t>" ∕"</a:t>
              </a:r>
              <a:r>
                <a:rPr lang="en-US" sz="1100" b="0" i="0">
                  <a:latin typeface="Calibri" panose="020F0502020204030204" pitchFamily="34" charset="0"/>
                </a:rPr>
                <a:t>m</a:t>
              </a:r>
              <a:r>
                <a:rPr lang="en-US" sz="1100" b="0" i="0">
                  <a:latin typeface="Cambria Math"/>
                </a:rPr>
                <a:t>" ^"</a:t>
              </a:r>
              <a:r>
                <a:rPr lang="en-US" sz="1100" b="0" i="0">
                  <a:latin typeface="Calibri" panose="020F0502020204030204" pitchFamily="34" charset="0"/>
                </a:rPr>
                <a:t>3</a:t>
              </a:r>
              <a:r>
                <a:rPr lang="en-US" sz="1100" b="0" i="0">
                  <a:latin typeface="Cambria Math"/>
                </a:rPr>
                <a:t>"  )"=" </a:t>
              </a:r>
              <a:r>
                <a:rPr lang="en-US" sz="1100" b="0" i="0">
                  <a:latin typeface="Calibri" panose="020F0502020204030204" pitchFamily="34" charset="0"/>
                </a:rPr>
                <a:t> "1</a:t>
              </a:r>
              <a:r>
                <a:rPr lang="en-US" sz="1100" b="0" i="0">
                  <a:latin typeface="Cambria Math"/>
                </a:rPr>
                <a:t>" /("</a:t>
              </a:r>
              <a:r>
                <a:rPr lang="en-US" sz="1100" b="0" i="0">
                  <a:latin typeface="Calibri" panose="020F0502020204030204" pitchFamily="34" charset="0"/>
                </a:rPr>
                <a:t>1</a:t>
              </a:r>
              <a:r>
                <a:rPr lang="en-US" sz="1100" b="0" i="0">
                  <a:latin typeface="Cambria Math"/>
                </a:rPr>
                <a:t>" /("</a:t>
              </a:r>
              <a:r>
                <a:rPr lang="en-US" sz="1100" b="0" i="0">
                  <a:latin typeface="Calibri" panose="020F0502020204030204" pitchFamily="34" charset="0"/>
                </a:rPr>
                <a:t>PR</a:t>
              </a:r>
              <a:r>
                <a:rPr lang="en-US" sz="1100" b="0" i="0">
                  <a:latin typeface="Cambria Math"/>
                </a:rPr>
                <a:t>" "</a:t>
              </a:r>
              <a:r>
                <a:rPr lang="en-US" sz="1100" b="0" i="0">
                  <a:latin typeface="Calibri" panose="020F0502020204030204" pitchFamily="34" charset="0"/>
                </a:rPr>
                <a:t>G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cw-air-inh-nodecay</a:t>
              </a:r>
              <a:r>
                <a:rPr lang="en-US" sz="1100" b="0" i="0">
                  <a:latin typeface="Cambria Math"/>
                </a:rPr>
                <a:t>"  ) "</a:t>
              </a:r>
              <a:r>
                <a:rPr lang="en-US" sz="1100" b="0" i="0">
                  <a:latin typeface="Calibri" panose="020F0502020204030204" pitchFamily="34" charset="0"/>
                </a:rPr>
                <a:t>+</a:t>
              </a:r>
              <a:r>
                <a:rPr lang="en-US" sz="1100" b="0" i="0">
                  <a:latin typeface="Cambria Math"/>
                </a:rPr>
                <a:t>"  "</a:t>
              </a:r>
              <a:r>
                <a:rPr lang="en-US" sz="1100" b="0" i="0">
                  <a:latin typeface="Calibri" panose="020F0502020204030204" pitchFamily="34" charset="0"/>
                </a:rPr>
                <a:t>1</a:t>
              </a:r>
              <a:r>
                <a:rPr lang="en-US" sz="1100" b="0" i="0">
                  <a:latin typeface="Cambria Math"/>
                </a:rPr>
                <a:t>" /("</a:t>
              </a:r>
              <a:r>
                <a:rPr lang="en-US" sz="1100" b="0" i="0">
                  <a:latin typeface="Calibri" panose="020F0502020204030204" pitchFamily="34" charset="0"/>
                </a:rPr>
                <a:t>PR</a:t>
              </a:r>
              <a:r>
                <a:rPr lang="en-US" sz="1100" b="0" i="0">
                  <a:latin typeface="Cambria Math"/>
                </a:rPr>
                <a:t>" "</a:t>
              </a:r>
              <a:r>
                <a:rPr lang="en-US" sz="1100" b="0" i="0">
                  <a:latin typeface="Calibri" panose="020F0502020204030204" pitchFamily="34" charset="0"/>
                </a:rPr>
                <a:t>G</a:t>
              </a:r>
              <a:r>
                <a:rPr lang="en-US" sz="1100" b="0" i="0">
                  <a:latin typeface="Cambria Math"/>
                </a:rPr>
                <a:t>" _"</a:t>
              </a:r>
              <a:r>
                <a:rPr lang="en-US" sz="1100" b="0" i="0">
                  <a:latin typeface="Calibri" panose="020F0502020204030204" pitchFamily="34" charset="0"/>
                </a:rPr>
                <a:t>cw-air-sub-nodecay</a:t>
              </a:r>
              <a:r>
                <a:rPr lang="en-US" sz="1100" b="0" i="0">
                  <a:latin typeface="Cambria Math"/>
                </a:rPr>
                <a:t>"  ))</a:t>
              </a:r>
              <a:endParaRPr lang="en-US" sz="1100">
                <a:latin typeface="Calibri" panose="020F0502020204030204" pitchFamily="34" charset="0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1</xdr:row>
      <xdr:rowOff>0</xdr:rowOff>
    </xdr:from>
    <xdr:ext cx="11376384" cy="407323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15030450" y="190500"/>
              <a:ext cx="11376384" cy="4073231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Direct External Exposure to contamination at infinite depth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PRGcw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soil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sv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TR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t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λ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yr</m:t>
                                    </m:r>
                                  </m:den>
                                </m:f>
                              </m:e>
                            </m:d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ext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sv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f>
                                  <m:fPr>
                                    <m:type m:val="lin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risk</m:t>
                                    </m:r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yr</m:t>
                                    </m:r>
                                  </m:den>
                                </m:f>
                              </m:num>
                              <m:den>
                                <m:d>
                                  <m:dPr>
                                    <m:begChr m:val=""/>
                                    <m:endChr m:val="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type m:val="lin"/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pCi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g</m:t>
                                        </m:r>
                                      </m:den>
                                    </m:f>
                                  </m:e>
                                </m:d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365 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25 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d>
                              <m:dPr>
                                <m:begChr m:val=""/>
                                <m:endChr m:val="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8 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hrs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day</m:t>
                                        </m:r>
                                      </m:den>
                                    </m:f>
                                  </m:e>
                                </m:d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1 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day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24 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hr</m:t>
                                        </m:r>
                                      </m:den>
                                    </m:f>
                                  </m:e>
                                </m:d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GS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o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1.0</m:t>
                                    </m:r>
                                  </m:e>
                                </m:d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AC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ext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sv</m:t>
                                    </m:r>
                                  </m:sub>
                                </m:sSub>
                              </m:e>
                            </m:d>
                          </m:e>
                        </m:d>
                      </m:den>
                    </m:f>
                  </m:oMath>
                </m:oMathPara>
              </a14:m>
              <a:endParaRPr lang="en-US" sz="1100"/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Direct External Exposure to contamination at 1 cm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PRGcw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soil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−1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cm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TR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t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λ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yr</m:t>
                                    </m:r>
                                  </m:den>
                                </m:f>
                              </m:e>
                            </m:d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ext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−1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cm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f>
                                  <m:fPr>
                                    <m:type m:val="lin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risk</m:t>
                                    </m:r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yr</m:t>
                                    </m:r>
                                  </m:den>
                                </m:f>
                              </m:num>
                              <m:den>
                                <m:d>
                                  <m:dPr>
                                    <m:begChr m:val=""/>
                                    <m:endChr m:val="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type m:val="lin"/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pCi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g</m:t>
                                        </m:r>
                                      </m:den>
                                    </m:f>
                                  </m:e>
                                </m:d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365 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25 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d>
                              <m:dPr>
                                <m:begChr m:val=""/>
                                <m:endChr m:val="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8 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hrs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day</m:t>
                                        </m:r>
                                      </m:den>
                                    </m:f>
                                  </m:e>
                                </m:d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1 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day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24 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hr</m:t>
                                        </m:r>
                                      </m:den>
                                    </m:f>
                                  </m:e>
                                </m:d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GS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o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1.0</m:t>
                                    </m:r>
                                  </m:e>
                                </m:d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AC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ext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−1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cm</m:t>
                                    </m:r>
                                  </m:sub>
                                </m:sSub>
                              </m:e>
                            </m:d>
                          </m:e>
                        </m:d>
                      </m:den>
                    </m:f>
                  </m:oMath>
                </m:oMathPara>
              </a14:m>
              <a:endParaRPr lang="en-US" sz="1100"/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Direct External Exposure to contamination at 5cm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PRGcw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soil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−5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cm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TR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t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λ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yr</m:t>
                                    </m:r>
                                  </m:den>
                                </m:f>
                              </m:e>
                            </m:d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ext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−5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cm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f>
                                  <m:fPr>
                                    <m:type m:val="lin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risk</m:t>
                                    </m:r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yr</m:t>
                                    </m:r>
                                  </m:den>
                                </m:f>
                              </m:num>
                              <m:den>
                                <m:d>
                                  <m:dPr>
                                    <m:begChr m:val=""/>
                                    <m:endChr m:val="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type m:val="lin"/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pCi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g</m:t>
                                        </m:r>
                                      </m:den>
                                    </m:f>
                                  </m:e>
                                </m:d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365 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25 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d>
                              <m:dPr>
                                <m:begChr m:val=""/>
                                <m:endChr m:val="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8 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hrs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day</m:t>
                                        </m:r>
                                      </m:den>
                                    </m:f>
                                  </m:e>
                                </m:d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1 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day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24 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hr</m:t>
                                        </m:r>
                                      </m:den>
                                    </m:f>
                                  </m:e>
                                </m:d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GS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o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1.0</m:t>
                                    </m:r>
                                  </m:e>
                                </m:d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AC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ext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−5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cm</m:t>
                                    </m:r>
                                  </m:sub>
                                </m:sSub>
                              </m:e>
                            </m:d>
                          </m:e>
                        </m:d>
                      </m:den>
                    </m:f>
                  </m:oMath>
                </m:oMathPara>
              </a14:m>
              <a:endParaRPr lang="en-US" sz="1100"/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Direct External Exposure to contamination at 15cm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PRGcw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soil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−15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cm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TR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t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λ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yr</m:t>
                                    </m:r>
                                  </m:den>
                                </m:f>
                              </m:e>
                            </m:d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ext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−15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cm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f>
                                  <m:fPr>
                                    <m:type m:val="lin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risk</m:t>
                                    </m:r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yr</m:t>
                                    </m:r>
                                  </m:den>
                                </m:f>
                              </m:num>
                              <m:den>
                                <m:d>
                                  <m:dPr>
                                    <m:begChr m:val=""/>
                                    <m:endChr m:val="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type m:val="lin"/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pCi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g</m:t>
                                        </m:r>
                                      </m:den>
                                    </m:f>
                                  </m:e>
                                </m:d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365 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25 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d>
                              <m:dPr>
                                <m:begChr m:val=""/>
                                <m:endChr m:val="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8 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hrs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day</m:t>
                                        </m:r>
                                      </m:den>
                                    </m:f>
                                  </m:e>
                                </m:d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1 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day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24 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hr</m:t>
                                        </m:r>
                                      </m:den>
                                    </m:f>
                                  </m:e>
                                </m:d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GS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o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1.0</m:t>
                                    </m:r>
                                  </m:e>
                                </m:d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AC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ext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−15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cm</m:t>
                                    </m:r>
                                  </m:sub>
                                </m:sSub>
                              </m:e>
                            </m:d>
                          </m:e>
                        </m:d>
                      </m:den>
                    </m:f>
                  </m:oMath>
                </m:oMathPara>
              </a14:m>
              <a:endParaRPr lang="en-US" sz="1100"/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Direct External Exposure to contamination dust</a:t>
              </a:r>
              <a:endParaRPr lang="en-US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PRGcw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soil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gp</m:t>
                    </m:r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pCi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</m:t>
                            </m:r>
                          </m:den>
                        </m:f>
                      </m:e>
                    </m:d>
                    <m:r>
                      <m:rPr>
                        <m:nor/>
                      </m:rPr>
                      <a:rPr lang="en-US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TR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t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λ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yr</m:t>
                                    </m:r>
                                  </m:den>
                                </m:f>
                              </m:e>
                            </m:d>
                          </m:e>
                        </m:d>
                      </m:num>
                      <m:den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1−</m:t>
                            </m:r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</m:e>
                              <m:sup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λ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S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ext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gp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f>
                                  <m:fPr>
                                    <m:type m:val="lin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risk</m:t>
                                    </m:r>
                                  </m:num>
                                  <m:den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yr</m:t>
                                    </m:r>
                                  </m:den>
                                </m:f>
                              </m:num>
                              <m:den>
                                <m:d>
                                  <m:dPr>
                                    <m:begChr m:val=""/>
                                    <m:endChr m:val="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type m:val="lin"/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pCi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g</m:t>
                                        </m:r>
                                      </m:den>
                                    </m:f>
                                  </m:e>
                                </m:d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E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50 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den>
                            </m:f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x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</m:t>
                                </m:r>
                              </m:e>
                              <m: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cw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week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yr</m:t>
                                </m:r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365 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days</m:t>
                                </m:r>
                              </m:den>
                            </m:f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E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D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cw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25 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yr</m:t>
                            </m:r>
                          </m:e>
                        </m:d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begChr m:val=""/>
                            <m:endChr m:val="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d>
                              <m:dPr>
                                <m:begChr m:val=""/>
                                <m:endChr m:val="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E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T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cw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8 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hrs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day</m:t>
                                        </m:r>
                                      </m:den>
                                    </m:f>
                                  </m:e>
                                </m:d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1 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day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24 </m:t>
                                        </m:r>
                                        <m:r>
                                          <m:rPr>
                                            <m:nor/>
                                          </m:rPr>
                                          <a:rPr lang="en-US" sz="1100" b="0" i="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hr</m:t>
                                        </m:r>
                                      </m:den>
                                    </m:f>
                                  </m:e>
                                </m:d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GS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o</m:t>
                                    </m:r>
                                  </m:sub>
                                </m:sSub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1.0</m:t>
                                    </m:r>
                                  </m:e>
                                </m:d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x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AC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F</m:t>
                                    </m:r>
                                  </m:e>
                                  <m:sub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ext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US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gp</m:t>
                                    </m:r>
                                  </m:sub>
                                </m:sSub>
                              </m:e>
                            </m:d>
                          </m:e>
                        </m:d>
                      </m:den>
                    </m:f>
                  </m:oMath>
                </m:oMathPara>
              </a14:m>
              <a:endParaRPr lang="en-US">
                <a:effectLst/>
              </a:endParaRP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15030450" y="190500"/>
              <a:ext cx="11376384" cy="4073231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Direct External Exposure to contamination at infinite depth</a:t>
              </a:r>
              <a:endParaRPr lang="en-US">
                <a:effectLst/>
              </a:endParaRPr>
            </a:p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"PRGcw−soil−sv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∕"g"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├ "TR x " "t" _"cw"  " " ("yr" )" x λ " ("1" /"yr" )┤/(("1−" "e" ^("−λ" "t" _"cw"  ) )" x S" "F" _"ext−sv"  " " (("risk" ∕"yr" )/├ "pCi" ∕"g" ┤ )" x E" "F" _"cw"  " " ("E" "W" _"cw"   "50 weeks" /"yr"  " x D" "W" _"cw"   "5 days" /"week" )" x " ("1yr" /"365 days" )" x E" "D" _"cw"  " " ("25 yr" )" x " ├ ├ "E" "T" _"cw"  " " ("8 hrs" /"day" )" x " ("1 day" /"24 hr" )" x GS" "F" _"o"  " " ("1.0" )  "x AC" "F" _"ext−sv"  ┤┤ )</a:t>
              </a:r>
              <a:endParaRPr lang="en-US" sz="1100"/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Direct External Exposure to contamination at 1 cm</a:t>
              </a:r>
              <a:endParaRPr lang="en-US">
                <a:effectLst/>
              </a:endParaRPr>
            </a:p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"PRGcw−soil−1cm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∕"g"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├ "TR x " "t" _"cw"  " " ("yr" )" x λ " ("1" /"yr" )┤/(("1−" "e" ^("−λ" "t" _"cw"  ) )" x S" "F" _"ext−1cm"  " " (("risk" ∕"yr" )/├ "pCi" ∕"g" ┤ )" x E" "F" _"cw"  " " ("E" "W" _"cw"   "50 weeks" /"yr"  " x D" "W" _"cw"   "5 days" /"week" )" x " ("1yr" /"365 days" )" x E" "D" _"cw"  " " ("25 yr" )" x " ├ ├ "E" "T" _"cw"  " " ("8 hrs" /"day" )" x " ("1 day" /"24 hr" )" x GS" "F" _"o"  " " ("1.0" )  "x AC" "F" _"ext−1cm"  ┤┤ )</a:t>
              </a:r>
              <a:endParaRPr lang="en-US" sz="1100"/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Direct External Exposure to contamination at 5cm</a:t>
              </a:r>
              <a:endParaRPr lang="en-US">
                <a:effectLst/>
              </a:endParaRPr>
            </a:p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"PRGcw−soil−5cm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∕"g"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├ "TR x " "t" _"cw"  " " ("yr" )" x λ " ("1" /"yr" )┤/(("1−" "e" ^("−λ" "t" _"cw"  ) )" x S" "F" _"ext−5cm"  " " (("risk" ∕"yr" )/├ "pCi" ∕"g" ┤ )" x E" "F" _"cw"  " " ("E" "W" _"cw"   "50 weeks" /"yr"  " x D" "W" _"cw"   "5 days" /"week" )" x " ("1yr" /"365 days" )" x E" "D" _"cw"  " " ("25 yr" )" x " ├ ├ "E" "T" _"cw"  " " ("8 hrs" /"day" )" x " ("1 day" /"24 hr" )" x GS" "F" _"o"  " " ("1.0" )  "x AC" "F" _"ext−5cm"  ┤┤ )</a:t>
              </a:r>
              <a:endParaRPr lang="en-US" sz="1100"/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Direct External Exposure to contamination at 15cm</a:t>
              </a:r>
              <a:endParaRPr lang="en-US">
                <a:effectLst/>
              </a:endParaRPr>
            </a:p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"PRGcw−soil−15cm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∕"g"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├ "TR x " "t" _"cw"  " " ("yr" )" x λ " ("1" /"yr" )┤/(("1−" "e" ^("−λ" "t" _"cw"  ) )" x S" "F" _"ext−15cm"  " " (("risk" ∕"yr" )/├ "pCi" ∕"g" ┤ )" x E" "F" _"cw"  " " ("E" "W" _"cw"   "50 weeks" /"yr"  " x D" "W" _"cw"   "5 days" /"week" )" x " ("1yr" /"365 days" )" x E" "D" _"cw"  " " ("25 yr" )" x " ├ ├ "E" "T" _"cw"  " " ("8 hrs" /"day" )" x " ("1 day" /"24 hr" )" x GS" "F" _"o"  " " ("1.0" )  "x AC" "F" _"ext−15cm"  ┤┤ )</a:t>
              </a:r>
              <a:endParaRPr lang="en-US" sz="1100"/>
            </a:p>
            <a:p>
              <a:r>
                <a:rPr lang="en-US" sz="1100" b="1" u="sng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Direct External Exposure to contamination dust</a:t>
              </a:r>
              <a:endParaRPr lang="en-US">
                <a:effectLst/>
              </a:endParaRPr>
            </a:p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"PRGcw−soil−gp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("pCi" ∕"g"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 ├ "TR x " "t" _"cw"  " " ("yr" )" x λ " ("1" /"yr" )┤/(("1−" "e" ^("−λ" "t" _"cw"  ) )" x S" "F" _"ext−gp"  " " (("risk" ∕"yr" )/├ "pCi" ∕"g" ┤ )" x E" "F" _"cw"  " " ("E" "W" _"cw"   "50 weeks" /"yr"  " x D" "W" _"cw"   "5 days" /"week" )" x " ("1yr" /"365 days" )" x E" "D" _"cw"  " " ("25 yr" )" x " ├ ├ "E" "T" _"cw"  " " ("8 hrs" /"day" )" x " ("1 day" /"24 hr" )" x GS" "F" _"o"  " " ("1.0" )  "x AC" "F" _"ext−gp"  ┤┤ )</a:t>
              </a:r>
              <a:endParaRPr lang="en-US">
                <a:effectLst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opLeftCell="L1" zoomScaleNormal="100" workbookViewId="0">
      <selection activeCell="Y47" sqref="Y47"/>
    </sheetView>
  </sheetViews>
  <sheetFormatPr defaultRowHeight="15" x14ac:dyDescent="0.25"/>
  <cols>
    <col min="1" max="1" width="10" customWidth="1"/>
    <col min="4" max="4" width="9.5703125" customWidth="1"/>
    <col min="8" max="8" width="8.140625" bestFit="1" customWidth="1"/>
    <col min="9" max="9" width="11.42578125" bestFit="1" customWidth="1"/>
  </cols>
  <sheetData>
    <row r="1" spans="1:14" x14ac:dyDescent="0.25">
      <c r="A1" s="2" t="s">
        <v>0</v>
      </c>
      <c r="B1" s="2" t="s">
        <v>1</v>
      </c>
      <c r="C1" s="15" t="s">
        <v>79</v>
      </c>
      <c r="E1" s="21"/>
      <c r="F1" s="184" t="s">
        <v>113</v>
      </c>
      <c r="G1" s="25" t="s">
        <v>38</v>
      </c>
      <c r="H1" s="25" t="s">
        <v>39</v>
      </c>
      <c r="I1" s="25" t="s">
        <v>85</v>
      </c>
      <c r="J1" s="25" t="s">
        <v>86</v>
      </c>
      <c r="K1" s="25" t="s">
        <v>87</v>
      </c>
      <c r="L1" s="25" t="s">
        <v>88</v>
      </c>
      <c r="M1" s="25" t="s">
        <v>23</v>
      </c>
      <c r="N1" s="25" t="s">
        <v>24</v>
      </c>
    </row>
    <row r="2" spans="1:14" ht="16.5" customHeight="1" x14ac:dyDescent="0.25">
      <c r="A2" s="2" t="s">
        <v>2</v>
      </c>
      <c r="B2" s="19">
        <v>9.9999999999999995E-7</v>
      </c>
      <c r="C2" s="194" t="s">
        <v>80</v>
      </c>
      <c r="E2" s="1" t="s">
        <v>34</v>
      </c>
      <c r="F2" s="1" t="s">
        <v>120</v>
      </c>
      <c r="G2" s="20">
        <v>432</v>
      </c>
      <c r="H2" s="20">
        <f>0.693/G2</f>
        <v>1.6041666666666665E-3</v>
      </c>
      <c r="I2" s="20">
        <f>(1-EXP(-(H2)*1))</f>
        <v>1.6028806790575612E-3</v>
      </c>
      <c r="J2" s="20">
        <f>'Isotope Specific Factors'!F11</f>
        <v>9.0999999999999996E-11</v>
      </c>
      <c r="K2" s="20">
        <f>'Isotope Specific Factors'!C19</f>
        <v>3.77E-8</v>
      </c>
      <c r="L2" s="20">
        <f>'Isotope Specific Factors'!D3</f>
        <v>2.77E-8</v>
      </c>
      <c r="M2" s="20">
        <v>1</v>
      </c>
      <c r="N2" s="20">
        <v>0.108</v>
      </c>
    </row>
    <row r="3" spans="1:14" x14ac:dyDescent="0.25">
      <c r="A3" s="2" t="s">
        <v>3</v>
      </c>
      <c r="B3" s="1">
        <v>1</v>
      </c>
      <c r="C3" s="195"/>
      <c r="E3" s="1" t="s">
        <v>35</v>
      </c>
      <c r="F3" s="1" t="s">
        <v>120</v>
      </c>
      <c r="G3" s="20">
        <v>5.27</v>
      </c>
      <c r="H3" s="20">
        <f t="shared" ref="H3:H5" si="0">0.693/G3</f>
        <v>0.13149905123339659</v>
      </c>
      <c r="I3" s="20">
        <f t="shared" ref="I3:I5" si="1">(1-EXP(-(H3)*1))</f>
        <v>0.12321989300291381</v>
      </c>
      <c r="J3" s="20">
        <f>'Isotope Specific Factors'!F12</f>
        <v>7.3300000000000005E-12</v>
      </c>
      <c r="K3" s="20">
        <f>'Isotope Specific Factors'!C24</f>
        <v>1.01E-10</v>
      </c>
      <c r="L3" s="20">
        <f>'Isotope Specific Factors'!D4</f>
        <v>1.24E-5</v>
      </c>
      <c r="M3" s="20">
        <v>1</v>
      </c>
      <c r="N3" s="20">
        <v>9.8299999999999998E-2</v>
      </c>
    </row>
    <row r="4" spans="1:14" x14ac:dyDescent="0.25">
      <c r="A4" s="12" t="s">
        <v>4</v>
      </c>
      <c r="B4" s="1">
        <f>$B$5*$B$6</f>
        <v>250</v>
      </c>
      <c r="E4" s="1" t="s">
        <v>36</v>
      </c>
      <c r="F4" s="1" t="s">
        <v>120</v>
      </c>
      <c r="G4" s="20">
        <v>12.3</v>
      </c>
      <c r="H4" s="20">
        <f t="shared" si="0"/>
        <v>5.6341463414634141E-2</v>
      </c>
      <c r="I4" s="20">
        <f t="shared" si="1"/>
        <v>5.4783676014250826E-2</v>
      </c>
      <c r="J4" s="20">
        <f>'Isotope Specific Factors'!F14</f>
        <v>0</v>
      </c>
      <c r="K4" s="20">
        <f>'Isotope Specific Factors'!C27</f>
        <v>8.4700000000000003E-13</v>
      </c>
      <c r="L4" s="20">
        <f>'Isotope Specific Factors'!D6</f>
        <v>0</v>
      </c>
      <c r="M4" s="20">
        <v>1</v>
      </c>
      <c r="N4" s="20">
        <v>0.9</v>
      </c>
    </row>
    <row r="5" spans="1:14" x14ac:dyDescent="0.25">
      <c r="A5" s="2" t="s">
        <v>5</v>
      </c>
      <c r="B5" s="1">
        <v>50</v>
      </c>
      <c r="E5" s="1" t="s">
        <v>37</v>
      </c>
      <c r="F5" s="1" t="s">
        <v>120</v>
      </c>
      <c r="G5" s="20">
        <v>87.7</v>
      </c>
      <c r="H5" s="20">
        <f t="shared" si="0"/>
        <v>7.9019384264538192E-3</v>
      </c>
      <c r="I5" s="20">
        <f t="shared" si="1"/>
        <v>7.8708001824812079E-3</v>
      </c>
      <c r="J5" s="20">
        <f>'Isotope Specific Factors'!F15</f>
        <v>1.1700000000000001E-10</v>
      </c>
      <c r="K5" s="20">
        <f>'Isotope Specific Factors'!C31</f>
        <v>5.2199999999999998E-8</v>
      </c>
      <c r="L5" s="20">
        <f>'Isotope Specific Factors'!D7</f>
        <v>6.9200000000000004E-11</v>
      </c>
      <c r="M5" s="20">
        <v>1</v>
      </c>
      <c r="N5" s="20">
        <v>0.17899999999999999</v>
      </c>
    </row>
    <row r="6" spans="1:14" ht="15.75" thickBot="1" x14ac:dyDescent="0.3">
      <c r="A6" s="2" t="s">
        <v>6</v>
      </c>
      <c r="B6" s="1">
        <v>5</v>
      </c>
    </row>
    <row r="7" spans="1:14" x14ac:dyDescent="0.25">
      <c r="A7" s="2" t="s">
        <v>7</v>
      </c>
      <c r="B7" s="1">
        <v>1</v>
      </c>
      <c r="E7" s="196" t="s">
        <v>89</v>
      </c>
      <c r="F7" s="197"/>
      <c r="G7" s="197"/>
      <c r="H7" s="197"/>
      <c r="I7" s="198"/>
      <c r="J7" s="191" t="s">
        <v>90</v>
      </c>
      <c r="K7" s="192"/>
      <c r="L7" s="192"/>
      <c r="M7" s="192"/>
      <c r="N7" s="193"/>
    </row>
    <row r="8" spans="1:14" ht="15.75" thickBot="1" x14ac:dyDescent="0.3">
      <c r="A8" s="2" t="s">
        <v>8</v>
      </c>
      <c r="B8" s="1">
        <v>330</v>
      </c>
      <c r="E8" s="26"/>
      <c r="F8" s="28" t="s">
        <v>27</v>
      </c>
      <c r="G8" s="29" t="s">
        <v>28</v>
      </c>
      <c r="H8" s="29" t="s">
        <v>29</v>
      </c>
      <c r="I8" s="30" t="s">
        <v>30</v>
      </c>
      <c r="J8" s="26"/>
      <c r="K8" s="32" t="s">
        <v>27</v>
      </c>
      <c r="L8" s="33" t="s">
        <v>28</v>
      </c>
      <c r="M8" s="33" t="s">
        <v>29</v>
      </c>
      <c r="N8" s="34" t="s">
        <v>30</v>
      </c>
    </row>
    <row r="9" spans="1:14" x14ac:dyDescent="0.25">
      <c r="A9" s="2" t="s">
        <v>9</v>
      </c>
      <c r="B9" s="1">
        <v>8</v>
      </c>
      <c r="E9" s="188" t="s">
        <v>34</v>
      </c>
      <c r="F9" s="36">
        <f>$B$2*$B$3*$H$2</f>
        <v>1.6041666666666663E-9</v>
      </c>
      <c r="G9" s="36">
        <f>$B$2*$B$3*$H$2</f>
        <v>1.6041666666666663E-9</v>
      </c>
      <c r="H9" s="36">
        <f>$B$2*$B$3*$H$2</f>
        <v>1.6041666666666663E-9</v>
      </c>
      <c r="I9" s="37">
        <f>1</f>
        <v>1</v>
      </c>
      <c r="J9" s="188" t="s">
        <v>34</v>
      </c>
      <c r="K9" s="36">
        <f>$B$2*$B$3*$H$2</f>
        <v>1.6041666666666663E-9</v>
      </c>
      <c r="L9" s="36">
        <f>$B$2*$B$3*$H$2</f>
        <v>1.6041666666666663E-9</v>
      </c>
      <c r="M9" s="36">
        <f>$B$2*$B$3*$H$2</f>
        <v>1.6041666666666663E-9</v>
      </c>
      <c r="N9" s="37">
        <f>1</f>
        <v>1</v>
      </c>
    </row>
    <row r="10" spans="1:14" x14ac:dyDescent="0.25">
      <c r="A10" s="2" t="s">
        <v>10</v>
      </c>
      <c r="B10" s="1">
        <v>60</v>
      </c>
      <c r="E10" s="189"/>
      <c r="F10" s="19">
        <f>I2*J2*$B$4*$B$7*$B$8*(1/1000)</f>
        <v>1.203362669802464E-11</v>
      </c>
      <c r="G10" s="19">
        <f>I2*K2*$B$4*$B$7*$B$9*(1/24)*$B$10*(1/$B$11)*1000</f>
        <v>1.4908342397706464E-10</v>
      </c>
      <c r="H10" s="19">
        <f>I2*L2*$B$4*(1/365)*$B$7*$B$9*(1/24)*M2*N2</f>
        <v>1.0947894610658903E-12</v>
      </c>
      <c r="I10" s="38">
        <f>(1/F11)+(1/G11)+(1/H11)</f>
        <v>0.10111906917578506</v>
      </c>
      <c r="J10" s="189"/>
      <c r="K10" s="19">
        <f>I2*J2*$B$4*$B$7*$B$8*(1/1000)</f>
        <v>1.203362669802464E-11</v>
      </c>
      <c r="L10" s="19">
        <f>I2*K2*$B$4*$B$7*$B$9*(1/24)*$B$10*(1/$B$12)*1000</f>
        <v>3.8515853597636691E-11</v>
      </c>
      <c r="M10" s="19">
        <f>I2*L2*$B$4*(1/365)*$B$7*$B$9*(1/24)*M2*N2</f>
        <v>1.0947894610658903E-12</v>
      </c>
      <c r="N10" s="38">
        <f>(1/K11)+(1/L11)+(1/M11)</f>
        <v>3.2193830497700089E-2</v>
      </c>
    </row>
    <row r="11" spans="1:14" ht="15.75" thickBot="1" x14ac:dyDescent="0.3">
      <c r="A11" s="12" t="s">
        <v>11</v>
      </c>
      <c r="B11" s="1">
        <f>($B$13)*(1/$B$14)*(($B$16*$B$15)/(((2.6*(($B$17/12)^0.8)*(($B$18/3)^0.4))/(($B$19/0.2)^0.3))*((365-$B$20)/(365))*(281.9)*($B$21)))</f>
        <v>2026670.7051806962</v>
      </c>
      <c r="D11" s="23"/>
      <c r="E11" s="190"/>
      <c r="F11" s="85">
        <f>F9/F10</f>
        <v>133.30699937118672</v>
      </c>
      <c r="G11" s="85">
        <f t="shared" ref="G11:I11" si="2">G9/G10</f>
        <v>10.76019468746207</v>
      </c>
      <c r="H11" s="85">
        <f t="shared" si="2"/>
        <v>1465.2741223000494</v>
      </c>
      <c r="I11" s="84">
        <f t="shared" si="2"/>
        <v>9.8893315390552434</v>
      </c>
      <c r="J11" s="190"/>
      <c r="K11" s="85">
        <f>K9/K10</f>
        <v>133.30699937118672</v>
      </c>
      <c r="L11" s="85">
        <f t="shared" ref="L11:N11" si="3">L9/L10</f>
        <v>41.649516155734297</v>
      </c>
      <c r="M11" s="85">
        <f t="shared" si="3"/>
        <v>1465.2741223000494</v>
      </c>
      <c r="N11" s="84">
        <f t="shared" si="3"/>
        <v>31.061852054897273</v>
      </c>
    </row>
    <row r="12" spans="1:14" x14ac:dyDescent="0.25">
      <c r="A12" s="12" t="s">
        <v>40</v>
      </c>
      <c r="B12" s="1">
        <f>$B$35*(1/$B$14)*(1/$B$36)</f>
        <v>7844640.0580588346</v>
      </c>
      <c r="D12" s="22"/>
      <c r="E12" s="188" t="s">
        <v>35</v>
      </c>
      <c r="F12" s="36">
        <f>$B$2*$B$3*$H$3</f>
        <v>1.3149905123339657E-7</v>
      </c>
      <c r="G12" s="36">
        <f>$B$2*$B$3*$H$3</f>
        <v>1.3149905123339657E-7</v>
      </c>
      <c r="H12" s="36">
        <f>$B$2*$B$3*$H$3</f>
        <v>1.3149905123339657E-7</v>
      </c>
      <c r="I12" s="37">
        <f>1</f>
        <v>1</v>
      </c>
      <c r="J12" s="188" t="s">
        <v>35</v>
      </c>
      <c r="K12" s="36">
        <f>$B$2*$B$3*$H$3</f>
        <v>1.3149905123339657E-7</v>
      </c>
      <c r="L12" s="36">
        <f>$B$2*$B$3*$H$3</f>
        <v>1.3149905123339657E-7</v>
      </c>
      <c r="M12" s="36">
        <f>$B$2*$B$3*$H$3</f>
        <v>1.3149905123339657E-7</v>
      </c>
      <c r="N12" s="37">
        <f>1</f>
        <v>1</v>
      </c>
    </row>
    <row r="13" spans="1:14" x14ac:dyDescent="0.25">
      <c r="A13" s="12" t="s">
        <v>12</v>
      </c>
      <c r="B13" s="1">
        <f>($B$22)*EXP((((LN($B$23))-$B$24)^2)/$B$25)</f>
        <v>23.017850304789416</v>
      </c>
      <c r="D13" s="23"/>
      <c r="E13" s="189"/>
      <c r="F13" s="19">
        <f>I3*J3*$B$4*$B$7*$B$8*(1/1000)</f>
        <v>7.4514149796187054E-11</v>
      </c>
      <c r="G13" s="19">
        <f>I3*K3*$B$4*$B$7*$B$9*(1/24)*$B$10*(1/$B$11)*1000</f>
        <v>3.0703579919226912E-11</v>
      </c>
      <c r="H13" s="19">
        <f>I3*L3*$B$4*(1/365)*$B$7*$B$9*(1/24)*M3*N3</f>
        <v>3.4291139721258369E-8</v>
      </c>
      <c r="I13" s="38">
        <f>(1/F14)+(1/G14)+(1/H14)</f>
        <v>0.26157114540639514</v>
      </c>
      <c r="J13" s="189"/>
      <c r="K13" s="19">
        <f>I3*J3*$B$4*$B$7*$B$8*(1/1000)</f>
        <v>7.4514149796187054E-11</v>
      </c>
      <c r="L13" s="19">
        <f>I3*K3*$B$4*$B$7*$B$9*(1/24)*$B$10*(1/$B$12)*1000</f>
        <v>7.9323009731397885E-12</v>
      </c>
      <c r="M13" s="19">
        <f>I3*L3*$B$4*(1/365)*$B$7*$B$9*(1/24)*M3*N3</f>
        <v>3.4291139721258369E-8</v>
      </c>
      <c r="N13" s="38">
        <f>(1/K14)+(1/L14)+(1/M14)</f>
        <v>0.26139797853764207</v>
      </c>
    </row>
    <row r="14" spans="1:14" ht="15.75" thickBot="1" x14ac:dyDescent="0.3">
      <c r="A14" s="12" t="s">
        <v>13</v>
      </c>
      <c r="B14" s="1">
        <f>0.1852+(5.3537/$B$34)+(-9.6318/($B$34^2))</f>
        <v>0.18583720873299323</v>
      </c>
      <c r="D14" s="23"/>
      <c r="E14" s="190"/>
      <c r="F14" s="85">
        <f>F12/F13</f>
        <v>1764.7527562627506</v>
      </c>
      <c r="G14" s="85">
        <f t="shared" ref="G14:I14" si="4">G12/G13</f>
        <v>4282.8572947954663</v>
      </c>
      <c r="H14" s="85">
        <f t="shared" si="4"/>
        <v>3.8347821712054486</v>
      </c>
      <c r="I14" s="84">
        <f t="shared" si="4"/>
        <v>3.8230516536765951</v>
      </c>
      <c r="J14" s="190"/>
      <c r="K14" s="85">
        <f>K12/K13</f>
        <v>1764.7527562627506</v>
      </c>
      <c r="L14" s="85">
        <f t="shared" ref="L14:N14" si="5">L12/L13</f>
        <v>16577.667902248824</v>
      </c>
      <c r="M14" s="85">
        <f t="shared" si="5"/>
        <v>3.8347821712054486</v>
      </c>
      <c r="N14" s="84">
        <f t="shared" si="5"/>
        <v>3.8255842894974688</v>
      </c>
    </row>
    <row r="15" spans="1:14" x14ac:dyDescent="0.25">
      <c r="A15" s="12" t="s">
        <v>14</v>
      </c>
      <c r="B15" s="1">
        <f>$B$26*$B$27*0.092903</f>
        <v>274.21392550619998</v>
      </c>
      <c r="D15" s="23"/>
      <c r="E15" s="188" t="s">
        <v>36</v>
      </c>
      <c r="F15" s="39"/>
      <c r="G15" s="36">
        <f>$B$2*$B$3*$H$4</f>
        <v>5.6341463414634135E-8</v>
      </c>
      <c r="H15" s="39"/>
      <c r="I15" s="37">
        <f>1</f>
        <v>1</v>
      </c>
      <c r="J15" s="188" t="s">
        <v>36</v>
      </c>
      <c r="K15" s="39"/>
      <c r="L15" s="36">
        <f>$B$2*$B$3*$H$4</f>
        <v>5.6341463414634135E-8</v>
      </c>
      <c r="M15" s="39"/>
      <c r="N15" s="37">
        <f>1</f>
        <v>1</v>
      </c>
    </row>
    <row r="16" spans="1:14" x14ac:dyDescent="0.25">
      <c r="A16" s="12" t="s">
        <v>41</v>
      </c>
      <c r="B16" s="1">
        <f>$B$7*$B$4*$B$9*3600</f>
        <v>7200000</v>
      </c>
      <c r="D16" s="23"/>
      <c r="E16" s="189"/>
      <c r="F16" s="40"/>
      <c r="G16" s="19">
        <f>I4*K4*$B$4*$B$7*$B$9*(1/24)*$B$10*(1/17)*1000</f>
        <v>1.3647580465903074E-8</v>
      </c>
      <c r="H16" s="40"/>
      <c r="I16" s="38">
        <f>(1/G17)</f>
        <v>0.24222978316105029</v>
      </c>
      <c r="J16" s="189"/>
      <c r="K16" s="40"/>
      <c r="L16" s="19">
        <f>I4*K4*$B$4*$B$7*$B$9*(1/24)*$B$10*(1/17)*1000</f>
        <v>1.3647580465903074E-8</v>
      </c>
      <c r="M16" s="40"/>
      <c r="N16" s="38">
        <f>(1/L17)</f>
        <v>0.24222978316105029</v>
      </c>
    </row>
    <row r="17" spans="1:14" ht="15.75" thickBot="1" x14ac:dyDescent="0.3">
      <c r="A17" s="13" t="s">
        <v>25</v>
      </c>
      <c r="B17" s="1">
        <v>8.5</v>
      </c>
      <c r="E17" s="190"/>
      <c r="F17" s="41"/>
      <c r="G17" s="85">
        <f t="shared" ref="G17:I17" si="6">G15/G16</f>
        <v>4.1283115022034025</v>
      </c>
      <c r="H17" s="41"/>
      <c r="I17" s="84">
        <f t="shared" si="6"/>
        <v>4.1283115022034025</v>
      </c>
      <c r="J17" s="190"/>
      <c r="K17" s="41"/>
      <c r="L17" s="85">
        <f t="shared" ref="L17" si="7">L15/L16</f>
        <v>4.1283115022034025</v>
      </c>
      <c r="M17" s="41"/>
      <c r="N17" s="84">
        <f t="shared" ref="N17" si="8">N15/N16</f>
        <v>4.1283115022034025</v>
      </c>
    </row>
    <row r="18" spans="1:14" x14ac:dyDescent="0.25">
      <c r="A18" s="12" t="s">
        <v>42</v>
      </c>
      <c r="B18" s="1">
        <f>($B$28*$B$29+$B$30*$B$31)/$B$32</f>
        <v>12.142857142857142</v>
      </c>
      <c r="D18" s="23"/>
      <c r="E18" s="188" t="s">
        <v>37</v>
      </c>
      <c r="F18" s="36">
        <f>$B$2*$B$3*$H$5</f>
        <v>7.9019384264538188E-9</v>
      </c>
      <c r="G18" s="36">
        <f>$B$2*$B$3*$H$5</f>
        <v>7.9019384264538188E-9</v>
      </c>
      <c r="H18" s="36">
        <f>$B$2*$B$3*$H$5</f>
        <v>7.9019384264538188E-9</v>
      </c>
      <c r="I18" s="37">
        <f>1</f>
        <v>1</v>
      </c>
      <c r="J18" s="188" t="s">
        <v>37</v>
      </c>
      <c r="K18" s="36">
        <f>$B$2*$B$3*$H$5</f>
        <v>7.9019384264538188E-9</v>
      </c>
      <c r="L18" s="36">
        <f>$B$2*$B$3*$H$5</f>
        <v>7.9019384264538188E-9</v>
      </c>
      <c r="M18" s="36">
        <f>$B$2*$B$3*$H$5</f>
        <v>7.9019384264538188E-9</v>
      </c>
      <c r="N18" s="37">
        <f>1</f>
        <v>1</v>
      </c>
    </row>
    <row r="19" spans="1:14" x14ac:dyDescent="0.25">
      <c r="A19" s="13" t="s">
        <v>16</v>
      </c>
      <c r="B19" s="1">
        <v>0.2</v>
      </c>
      <c r="E19" s="189"/>
      <c r="F19" s="19">
        <f>I5*J5*$B$4*$B$7*$B$8*(1/1000)</f>
        <v>7.5972898761399866E-11</v>
      </c>
      <c r="G19" s="19">
        <f>I5*K5*$B$4*$B$7*$B$9*(1/24)*$B$10*(1/$B$11)*1000</f>
        <v>1.0136224115621377E-9</v>
      </c>
      <c r="H19" s="19">
        <f>I5*L5*$B$4*(1/365)*$B$7*$B$9*(1/24)*M5*N5</f>
        <v>2.2258910433871742E-14</v>
      </c>
      <c r="I19" s="38">
        <f>(1/F20)+(1/G20)+(1/H20)</f>
        <v>0.13789243985832511</v>
      </c>
      <c r="J19" s="189"/>
      <c r="K19" s="19">
        <f>I5*J5*$B$4*$B$7*$B$8*(1/1000)</f>
        <v>7.5972898761399866E-11</v>
      </c>
      <c r="L19" s="19">
        <f>I5*K5*$B$4*$B$7*$B$9*(1/24)*$B$10*(1/$B$12)*1000</f>
        <v>2.6187037676983343E-10</v>
      </c>
      <c r="M19" s="19">
        <f>I5*L5*$B$4*(1/365)*$B$7*$B$9*(1/24)*M5*N5</f>
        <v>2.2258910433871742E-14</v>
      </c>
      <c r="N19" s="38">
        <f>(1/K20)+(1/L20)+(1/M20)</f>
        <v>4.2757297792978669E-2</v>
      </c>
    </row>
    <row r="20" spans="1:14" ht="15.75" thickBot="1" x14ac:dyDescent="0.3">
      <c r="A20" s="14" t="s">
        <v>15</v>
      </c>
      <c r="B20" s="1">
        <v>250</v>
      </c>
      <c r="E20" s="190"/>
      <c r="F20" s="85">
        <f>F18/F19</f>
        <v>104.0099634906733</v>
      </c>
      <c r="G20" s="85">
        <f t="shared" ref="G20:I20" si="9">G18/G19</f>
        <v>7.7957416255978371</v>
      </c>
      <c r="H20" s="85">
        <f t="shared" si="9"/>
        <v>355001.13313854358</v>
      </c>
      <c r="I20" s="84">
        <f t="shared" si="9"/>
        <v>7.2520291977386897</v>
      </c>
      <c r="J20" s="190"/>
      <c r="K20" s="85">
        <f>K18/K19</f>
        <v>104.0099634906733</v>
      </c>
      <c r="L20" s="85">
        <f t="shared" ref="L20:N20" si="10">L18/L19</f>
        <v>30.174999264613632</v>
      </c>
      <c r="M20" s="85">
        <f t="shared" si="10"/>
        <v>355001.13313854358</v>
      </c>
      <c r="N20" s="84">
        <f t="shared" si="10"/>
        <v>23.387820363246007</v>
      </c>
    </row>
    <row r="21" spans="1:14" ht="15.75" thickBot="1" x14ac:dyDescent="0.3">
      <c r="A21" s="12" t="s">
        <v>43</v>
      </c>
      <c r="B21" s="1">
        <f>$B$32*$B$33*$B$5*$B$6</f>
        <v>393.57500000000005</v>
      </c>
      <c r="D21" s="23"/>
      <c r="E21" s="27"/>
      <c r="F21" s="6"/>
      <c r="G21" s="29" t="s">
        <v>31</v>
      </c>
      <c r="H21" s="29" t="s">
        <v>32</v>
      </c>
      <c r="I21" s="31" t="s">
        <v>33</v>
      </c>
      <c r="J21" s="27"/>
      <c r="K21" s="6"/>
      <c r="L21" s="33" t="s">
        <v>31</v>
      </c>
      <c r="M21" s="33" t="s">
        <v>32</v>
      </c>
      <c r="N21" s="35" t="s">
        <v>33</v>
      </c>
    </row>
    <row r="22" spans="1:14" ht="14.25" customHeight="1" x14ac:dyDescent="0.25">
      <c r="A22" s="13" t="s">
        <v>17</v>
      </c>
      <c r="B22" s="1">
        <v>12.9351</v>
      </c>
      <c r="E22" s="199" t="s">
        <v>34</v>
      </c>
      <c r="F22" s="4" t="s">
        <v>27</v>
      </c>
      <c r="G22" s="42">
        <v>133</v>
      </c>
      <c r="H22" s="42">
        <v>133</v>
      </c>
      <c r="I22" s="43">
        <f>(G22-H22)/((1/2)*(G22+H22))</f>
        <v>0</v>
      </c>
      <c r="J22" s="199" t="s">
        <v>34</v>
      </c>
      <c r="K22" s="4" t="s">
        <v>27</v>
      </c>
      <c r="L22" s="42">
        <v>133</v>
      </c>
      <c r="M22" s="42">
        <v>133</v>
      </c>
      <c r="N22" s="43">
        <f>(L22-M22)/((1/2)*(L22+M22))</f>
        <v>0</v>
      </c>
    </row>
    <row r="23" spans="1:14" x14ac:dyDescent="0.25">
      <c r="A23" s="13" t="s">
        <v>18</v>
      </c>
      <c r="B23" s="1">
        <v>0.5</v>
      </c>
      <c r="E23" s="200"/>
      <c r="F23" s="1" t="s">
        <v>28</v>
      </c>
      <c r="G23" s="20">
        <v>10.8</v>
      </c>
      <c r="H23" s="20">
        <v>10.7</v>
      </c>
      <c r="I23" s="44">
        <f t="shared" ref="I23:I25" si="11">(G23-H23)/((1/2)*(G23+H23))</f>
        <v>9.3023255813954805E-3</v>
      </c>
      <c r="J23" s="200"/>
      <c r="K23" s="1" t="s">
        <v>28</v>
      </c>
      <c r="L23" s="20">
        <v>41.6</v>
      </c>
      <c r="M23" s="20">
        <v>41.6</v>
      </c>
      <c r="N23" s="44">
        <f t="shared" ref="N23:N25" si="12">(L23-M23)/((1/2)*(L23+M23))</f>
        <v>0</v>
      </c>
    </row>
    <row r="24" spans="1:14" x14ac:dyDescent="0.25">
      <c r="A24" s="13" t="s">
        <v>19</v>
      </c>
      <c r="B24" s="1">
        <v>5.7382999999999997</v>
      </c>
      <c r="E24" s="200"/>
      <c r="F24" s="1" t="s">
        <v>29</v>
      </c>
      <c r="G24" s="20">
        <v>1470</v>
      </c>
      <c r="H24" s="20">
        <v>1470</v>
      </c>
      <c r="I24" s="44">
        <f t="shared" si="11"/>
        <v>0</v>
      </c>
      <c r="J24" s="200"/>
      <c r="K24" s="1" t="s">
        <v>29</v>
      </c>
      <c r="L24" s="20">
        <v>1470</v>
      </c>
      <c r="M24" s="20">
        <v>1470</v>
      </c>
      <c r="N24" s="44">
        <f t="shared" si="12"/>
        <v>0</v>
      </c>
    </row>
    <row r="25" spans="1:14" ht="15.75" thickBot="1" x14ac:dyDescent="0.3">
      <c r="A25" s="13" t="s">
        <v>20</v>
      </c>
      <c r="B25" s="1">
        <v>71.771100000000004</v>
      </c>
      <c r="E25" s="201"/>
      <c r="F25" s="7" t="s">
        <v>30</v>
      </c>
      <c r="G25" s="45">
        <v>9.89</v>
      </c>
      <c r="H25" s="45">
        <v>9.8800000000000008</v>
      </c>
      <c r="I25" s="46">
        <f t="shared" si="11"/>
        <v>1.0116337885685165E-3</v>
      </c>
      <c r="J25" s="201"/>
      <c r="K25" s="7" t="s">
        <v>30</v>
      </c>
      <c r="L25" s="45">
        <v>31.1</v>
      </c>
      <c r="M25" s="45">
        <v>31</v>
      </c>
      <c r="N25" s="46">
        <f t="shared" si="12"/>
        <v>3.2206119162641357E-3</v>
      </c>
    </row>
    <row r="26" spans="1:14" x14ac:dyDescent="0.25">
      <c r="A26" s="14" t="s">
        <v>21</v>
      </c>
      <c r="B26" s="1">
        <v>147.58077</v>
      </c>
      <c r="E26" s="199" t="s">
        <v>35</v>
      </c>
      <c r="F26" s="4" t="s">
        <v>27</v>
      </c>
      <c r="G26" s="42">
        <v>1760</v>
      </c>
      <c r="H26" s="42">
        <v>1770</v>
      </c>
      <c r="I26" s="43">
        <f>(G26-H26)/((1/2)*(G26+H26))</f>
        <v>-5.6657223796033997E-3</v>
      </c>
      <c r="J26" s="199" t="s">
        <v>35</v>
      </c>
      <c r="K26" s="4" t="s">
        <v>27</v>
      </c>
      <c r="L26" s="42">
        <v>1760</v>
      </c>
      <c r="M26" s="42">
        <v>1770</v>
      </c>
      <c r="N26" s="43">
        <f>(L26-M26)/((1/2)*(L26+M26))</f>
        <v>-5.6657223796033997E-3</v>
      </c>
    </row>
    <row r="27" spans="1:14" ht="14.25" customHeight="1" x14ac:dyDescent="0.25">
      <c r="A27" s="13" t="s">
        <v>22</v>
      </c>
      <c r="B27" s="1">
        <v>20</v>
      </c>
      <c r="E27" s="200"/>
      <c r="F27" s="1" t="s">
        <v>28</v>
      </c>
      <c r="G27" s="20">
        <v>4280</v>
      </c>
      <c r="H27" s="20">
        <v>4300</v>
      </c>
      <c r="I27" s="44">
        <f t="shared" ref="I27:I29" si="13">(G27-H27)/((1/2)*(G27+H27))</f>
        <v>-4.662004662004662E-3</v>
      </c>
      <c r="J27" s="200"/>
      <c r="K27" s="1" t="s">
        <v>28</v>
      </c>
      <c r="L27" s="20">
        <v>16600</v>
      </c>
      <c r="M27" s="20">
        <v>16600</v>
      </c>
      <c r="N27" s="44">
        <f t="shared" ref="N27:N29" si="14">(L27-M27)/((1/2)*(L27+M27))</f>
        <v>0</v>
      </c>
    </row>
    <row r="28" spans="1:14" x14ac:dyDescent="0.25">
      <c r="A28" s="14" t="s">
        <v>44</v>
      </c>
      <c r="B28" s="1">
        <v>20</v>
      </c>
      <c r="E28" s="200"/>
      <c r="F28" s="1" t="s">
        <v>29</v>
      </c>
      <c r="G28" s="20">
        <v>3.83</v>
      </c>
      <c r="H28" s="20">
        <v>3.84</v>
      </c>
      <c r="I28" s="44">
        <f t="shared" si="13"/>
        <v>-2.6075619295957723E-3</v>
      </c>
      <c r="J28" s="200"/>
      <c r="K28" s="1" t="s">
        <v>29</v>
      </c>
      <c r="L28" s="20">
        <v>3.83</v>
      </c>
      <c r="M28" s="20">
        <v>3.84</v>
      </c>
      <c r="N28" s="44">
        <f t="shared" si="14"/>
        <v>-2.6075619295957723E-3</v>
      </c>
    </row>
    <row r="29" spans="1:14" ht="15.75" thickBot="1" x14ac:dyDescent="0.3">
      <c r="A29" s="14" t="s">
        <v>45</v>
      </c>
      <c r="B29" s="1">
        <v>10</v>
      </c>
      <c r="E29" s="201"/>
      <c r="F29" s="7" t="s">
        <v>30</v>
      </c>
      <c r="G29" s="45">
        <v>3.82</v>
      </c>
      <c r="H29" s="45">
        <v>3.83</v>
      </c>
      <c r="I29" s="46">
        <f t="shared" si="13"/>
        <v>-2.6143790849673804E-3</v>
      </c>
      <c r="J29" s="201"/>
      <c r="K29" s="7" t="s">
        <v>30</v>
      </c>
      <c r="L29" s="45">
        <v>3.83</v>
      </c>
      <c r="M29" s="45">
        <v>3.83</v>
      </c>
      <c r="N29" s="46">
        <f t="shared" si="14"/>
        <v>0</v>
      </c>
    </row>
    <row r="30" spans="1:14" x14ac:dyDescent="0.25">
      <c r="A30" s="14" t="s">
        <v>46</v>
      </c>
      <c r="B30" s="1">
        <v>15</v>
      </c>
      <c r="E30" s="199" t="s">
        <v>36</v>
      </c>
      <c r="F30" s="4" t="s">
        <v>27</v>
      </c>
      <c r="G30" s="47"/>
      <c r="H30" s="47"/>
      <c r="I30" s="48"/>
      <c r="J30" s="199" t="s">
        <v>36</v>
      </c>
      <c r="K30" s="4" t="s">
        <v>27</v>
      </c>
      <c r="L30" s="47"/>
      <c r="M30" s="47"/>
      <c r="N30" s="48"/>
    </row>
    <row r="31" spans="1:14" x14ac:dyDescent="0.25">
      <c r="A31" s="14" t="s">
        <v>47</v>
      </c>
      <c r="B31" s="1">
        <v>15</v>
      </c>
      <c r="E31" s="200"/>
      <c r="F31" s="1" t="s">
        <v>28</v>
      </c>
      <c r="G31" s="20">
        <v>4.13</v>
      </c>
      <c r="H31" s="20">
        <v>4.13</v>
      </c>
      <c r="I31" s="44">
        <f t="shared" ref="I31:I33" si="15">(G31-H31)/((1/2)*(G31+H31))</f>
        <v>0</v>
      </c>
      <c r="J31" s="200"/>
      <c r="K31" s="1" t="s">
        <v>28</v>
      </c>
      <c r="L31" s="20">
        <v>4.13</v>
      </c>
      <c r="M31" s="20">
        <v>4.13</v>
      </c>
      <c r="N31" s="44">
        <f t="shared" ref="N31:N33" si="16">(L31-M31)/((1/2)*(L31+M31))</f>
        <v>0</v>
      </c>
    </row>
    <row r="32" spans="1:14" ht="14.25" customHeight="1" x14ac:dyDescent="0.25">
      <c r="A32" s="14" t="s">
        <v>48</v>
      </c>
      <c r="B32" s="1">
        <v>35</v>
      </c>
      <c r="E32" s="200"/>
      <c r="F32" s="1" t="s">
        <v>29</v>
      </c>
      <c r="G32" s="49"/>
      <c r="H32" s="49"/>
      <c r="I32" s="50"/>
      <c r="J32" s="200"/>
      <c r="K32" s="1" t="s">
        <v>29</v>
      </c>
      <c r="L32" s="49"/>
      <c r="M32" s="49"/>
      <c r="N32" s="50"/>
    </row>
    <row r="33" spans="1:14" ht="15.75" thickBot="1" x14ac:dyDescent="0.3">
      <c r="A33" s="14" t="s">
        <v>49</v>
      </c>
      <c r="B33" s="1">
        <v>4.4979999999999999E-2</v>
      </c>
      <c r="E33" s="201"/>
      <c r="F33" s="7" t="s">
        <v>30</v>
      </c>
      <c r="G33" s="45">
        <v>4.13</v>
      </c>
      <c r="H33" s="45">
        <v>4.13</v>
      </c>
      <c r="I33" s="46">
        <f t="shared" si="15"/>
        <v>0</v>
      </c>
      <c r="J33" s="201"/>
      <c r="K33" s="7" t="s">
        <v>30</v>
      </c>
      <c r="L33" s="45">
        <v>4.13</v>
      </c>
      <c r="M33" s="45">
        <v>4.13</v>
      </c>
      <c r="N33" s="46">
        <f t="shared" si="16"/>
        <v>0</v>
      </c>
    </row>
    <row r="34" spans="1:14" ht="15.75" thickBot="1" x14ac:dyDescent="0.3">
      <c r="A34" s="18" t="s">
        <v>26</v>
      </c>
      <c r="B34" s="7">
        <f>$B$7*$B$5*7*24</f>
        <v>8400</v>
      </c>
      <c r="D34" s="23"/>
      <c r="E34" s="199" t="s">
        <v>37</v>
      </c>
      <c r="F34" s="4" t="s">
        <v>27</v>
      </c>
      <c r="G34" s="42">
        <v>104</v>
      </c>
      <c r="H34" s="42">
        <v>104</v>
      </c>
      <c r="I34" s="43">
        <f>(G34-H34)/((1/2)*(G34+H34))</f>
        <v>0</v>
      </c>
      <c r="J34" s="199" t="s">
        <v>37</v>
      </c>
      <c r="K34" s="4" t="s">
        <v>27</v>
      </c>
      <c r="L34" s="42">
        <v>104</v>
      </c>
      <c r="M34" s="42">
        <v>104</v>
      </c>
      <c r="N34" s="43">
        <f>(L34-M34)/((1/2)*(L34+M34))</f>
        <v>0</v>
      </c>
    </row>
    <row r="35" spans="1:14" x14ac:dyDescent="0.25">
      <c r="A35" s="17" t="s">
        <v>50</v>
      </c>
      <c r="B35" s="1">
        <f>($B$37)*EXP((((LN($B$38))-$B$39)^2)/$B$40)</f>
        <v>14.314066768501952</v>
      </c>
      <c r="D35" s="24"/>
      <c r="E35" s="200"/>
      <c r="F35" s="1" t="s">
        <v>28</v>
      </c>
      <c r="G35" s="20">
        <v>7.8</v>
      </c>
      <c r="H35" s="20">
        <v>7.8</v>
      </c>
      <c r="I35" s="44">
        <f t="shared" ref="I35:I37" si="17">(G35-H35)/((1/2)*(G35+H35))</f>
        <v>0</v>
      </c>
      <c r="J35" s="200"/>
      <c r="K35" s="1" t="s">
        <v>28</v>
      </c>
      <c r="L35" s="20">
        <v>30.2</v>
      </c>
      <c r="M35" s="20">
        <v>30.2</v>
      </c>
      <c r="N35" s="44">
        <f t="shared" ref="N35:N37" si="18">(L35-M35)/((1/2)*(L35+M35))</f>
        <v>0</v>
      </c>
    </row>
    <row r="36" spans="1:14" x14ac:dyDescent="0.25">
      <c r="A36" s="12" t="s">
        <v>51</v>
      </c>
      <c r="B36" s="1">
        <f>($B$41+$B$48+$B$54+$B$59+$B$62)/($B$46*$B$16)</f>
        <v>9.8187758015103099E-6</v>
      </c>
      <c r="D36" s="24"/>
      <c r="E36" s="200"/>
      <c r="F36" s="1" t="s">
        <v>29</v>
      </c>
      <c r="G36" s="20">
        <v>355000</v>
      </c>
      <c r="H36" s="20">
        <v>356000</v>
      </c>
      <c r="I36" s="44">
        <f t="shared" si="17"/>
        <v>-2.8129395218002813E-3</v>
      </c>
      <c r="J36" s="200"/>
      <c r="K36" s="1" t="s">
        <v>29</v>
      </c>
      <c r="L36" s="20">
        <v>355000</v>
      </c>
      <c r="M36" s="20">
        <v>353000</v>
      </c>
      <c r="N36" s="44">
        <f t="shared" si="18"/>
        <v>5.6497175141242938E-3</v>
      </c>
    </row>
    <row r="37" spans="1:14" ht="14.25" customHeight="1" thickBot="1" x14ac:dyDescent="0.3">
      <c r="A37" s="16" t="s">
        <v>17</v>
      </c>
      <c r="B37" s="1">
        <v>2.4538000000000002</v>
      </c>
      <c r="E37" s="201"/>
      <c r="F37" s="7" t="s">
        <v>30</v>
      </c>
      <c r="G37" s="45">
        <v>7.25</v>
      </c>
      <c r="H37" s="45">
        <v>7.26</v>
      </c>
      <c r="I37" s="46">
        <f t="shared" si="17"/>
        <v>-1.3783597518952154E-3</v>
      </c>
      <c r="J37" s="201"/>
      <c r="K37" s="7" t="s">
        <v>30</v>
      </c>
      <c r="L37" s="45">
        <v>23.4</v>
      </c>
      <c r="M37" s="45">
        <v>23.4</v>
      </c>
      <c r="N37" s="46">
        <f t="shared" si="18"/>
        <v>0</v>
      </c>
    </row>
    <row r="38" spans="1:14" x14ac:dyDescent="0.25">
      <c r="A38" s="16" t="s">
        <v>81</v>
      </c>
      <c r="B38" s="1">
        <v>0.5</v>
      </c>
    </row>
    <row r="39" spans="1:14" x14ac:dyDescent="0.25">
      <c r="A39" s="16" t="s">
        <v>19</v>
      </c>
      <c r="B39" s="1">
        <v>17.565999999999999</v>
      </c>
    </row>
    <row r="40" spans="1:14" x14ac:dyDescent="0.25">
      <c r="A40" s="16" t="s">
        <v>20</v>
      </c>
      <c r="B40" s="1">
        <v>189.04259999999999</v>
      </c>
    </row>
    <row r="41" spans="1:14" x14ac:dyDescent="0.25">
      <c r="A41" s="12" t="s">
        <v>52</v>
      </c>
      <c r="B41" s="1">
        <f>0.036*(1-$B$42)*(($B$43/$B$44)^3)*$B$45*$B$46*$B$47*8760</f>
        <v>8803.9135458504297</v>
      </c>
      <c r="D41" s="22"/>
    </row>
    <row r="42" spans="1:14" x14ac:dyDescent="0.25">
      <c r="A42" s="13" t="s">
        <v>54</v>
      </c>
      <c r="B42" s="1">
        <v>0</v>
      </c>
    </row>
    <row r="43" spans="1:14" x14ac:dyDescent="0.25">
      <c r="A43" s="13" t="s">
        <v>82</v>
      </c>
      <c r="B43" s="1">
        <v>4.6900000000000004</v>
      </c>
    </row>
    <row r="44" spans="1:14" x14ac:dyDescent="0.25">
      <c r="A44" s="13" t="s">
        <v>83</v>
      </c>
      <c r="B44" s="1">
        <v>11.32</v>
      </c>
    </row>
    <row r="45" spans="1:14" x14ac:dyDescent="0.25">
      <c r="A45" s="13" t="s">
        <v>84</v>
      </c>
      <c r="B45" s="1">
        <v>0.19400000000000001</v>
      </c>
    </row>
    <row r="46" spans="1:14" x14ac:dyDescent="0.25">
      <c r="A46" s="13" t="s">
        <v>53</v>
      </c>
      <c r="B46" s="1">
        <v>2023.43</v>
      </c>
    </row>
    <row r="47" spans="1:14" x14ac:dyDescent="0.25">
      <c r="A47" s="14" t="s">
        <v>55</v>
      </c>
      <c r="B47" s="1">
        <v>1</v>
      </c>
    </row>
    <row r="48" spans="1:14" x14ac:dyDescent="0.25">
      <c r="A48" s="12" t="s">
        <v>56</v>
      </c>
      <c r="B48" s="1">
        <f>0.35*0.0016*((($B$43/2.2)^1.3)/(($B$49/2)^1.4))*$B$50*$B$51*$B$52*$B$53*1000</f>
        <v>368.75105691101982</v>
      </c>
      <c r="D48" s="22"/>
    </row>
    <row r="49" spans="1:4" x14ac:dyDescent="0.25">
      <c r="A49" s="13" t="s">
        <v>57</v>
      </c>
      <c r="B49" s="1">
        <v>12</v>
      </c>
    </row>
    <row r="50" spans="1:4" x14ac:dyDescent="0.25">
      <c r="A50" s="13" t="s">
        <v>58</v>
      </c>
      <c r="B50" s="1">
        <v>1.68</v>
      </c>
    </row>
    <row r="51" spans="1:4" x14ac:dyDescent="0.25">
      <c r="A51" s="13" t="s">
        <v>59</v>
      </c>
      <c r="B51" s="1">
        <v>50</v>
      </c>
    </row>
    <row r="52" spans="1:4" x14ac:dyDescent="0.25">
      <c r="A52" s="14" t="s">
        <v>60</v>
      </c>
      <c r="B52" s="1">
        <v>18</v>
      </c>
    </row>
    <row r="53" spans="1:4" x14ac:dyDescent="0.25">
      <c r="A53" s="13" t="s">
        <v>61</v>
      </c>
      <c r="B53" s="1">
        <v>2</v>
      </c>
    </row>
    <row r="54" spans="1:4" x14ac:dyDescent="0.25">
      <c r="A54" s="12" t="s">
        <v>62</v>
      </c>
      <c r="B54" s="1">
        <f>0.75*((0.45*(($B$55)^1.5))/(($B$56)^1.4))*($B$57/$B$58)*1000</f>
        <v>721.52118785314906</v>
      </c>
      <c r="D54" s="22"/>
    </row>
    <row r="55" spans="1:4" x14ac:dyDescent="0.25">
      <c r="A55" s="13" t="s">
        <v>63</v>
      </c>
      <c r="B55" s="1">
        <v>6.9</v>
      </c>
    </row>
    <row r="56" spans="1:4" x14ac:dyDescent="0.25">
      <c r="A56" s="13" t="s">
        <v>64</v>
      </c>
      <c r="B56" s="1">
        <v>7.9</v>
      </c>
    </row>
    <row r="57" spans="1:4" x14ac:dyDescent="0.25">
      <c r="A57" s="12" t="s">
        <v>65</v>
      </c>
      <c r="B57" s="1">
        <f>$B$69*4047*(1/$B$71)*(1/1000)*$B$70</f>
        <v>24.281999999999996</v>
      </c>
      <c r="D57" s="22"/>
    </row>
    <row r="58" spans="1:4" x14ac:dyDescent="0.25">
      <c r="A58" s="13" t="s">
        <v>66</v>
      </c>
      <c r="B58" s="1">
        <v>11.4</v>
      </c>
    </row>
    <row r="59" spans="1:4" x14ac:dyDescent="0.25">
      <c r="A59" s="12" t="s">
        <v>67</v>
      </c>
      <c r="B59" s="1">
        <f>0.6*0.0056*(($B$60)^2)*$B$61*1000</f>
        <v>7068.7427327999994</v>
      </c>
      <c r="D59" s="22"/>
    </row>
    <row r="60" spans="1:4" x14ac:dyDescent="0.25">
      <c r="A60" s="13" t="s">
        <v>68</v>
      </c>
      <c r="B60" s="1">
        <v>11.4</v>
      </c>
    </row>
    <row r="61" spans="1:4" x14ac:dyDescent="0.25">
      <c r="A61" s="12" t="s">
        <v>69</v>
      </c>
      <c r="B61" s="1">
        <f>$B$66*4047*(1/$B$67)*(1/1000)*$B$68</f>
        <v>16.187999999999999</v>
      </c>
      <c r="D61" s="22"/>
    </row>
    <row r="62" spans="1:4" x14ac:dyDescent="0.25">
      <c r="A62" s="12" t="s">
        <v>70</v>
      </c>
      <c r="B62" s="1">
        <f>1.1*(($B$63)^0.6)*$B$64*4047*(10^-4)*1000*$B$65</f>
        <v>126083.83122094545</v>
      </c>
      <c r="D62" s="22"/>
    </row>
    <row r="63" spans="1:4" x14ac:dyDescent="0.25">
      <c r="A63" s="13" t="s">
        <v>71</v>
      </c>
      <c r="B63" s="1">
        <v>18</v>
      </c>
    </row>
    <row r="64" spans="1:4" x14ac:dyDescent="0.25">
      <c r="A64" s="14" t="s">
        <v>72</v>
      </c>
      <c r="B64" s="1">
        <v>25</v>
      </c>
    </row>
    <row r="65" spans="1:2" x14ac:dyDescent="0.25">
      <c r="A65" s="13" t="s">
        <v>73</v>
      </c>
      <c r="B65" s="1">
        <v>2</v>
      </c>
    </row>
    <row r="66" spans="1:2" x14ac:dyDescent="0.25">
      <c r="A66" s="14" t="s">
        <v>74</v>
      </c>
      <c r="B66" s="1">
        <v>15</v>
      </c>
    </row>
    <row r="67" spans="1:2" x14ac:dyDescent="0.25">
      <c r="A67" s="14" t="s">
        <v>75</v>
      </c>
      <c r="B67" s="1">
        <v>15</v>
      </c>
    </row>
    <row r="68" spans="1:2" x14ac:dyDescent="0.25">
      <c r="A68" s="14" t="s">
        <v>76</v>
      </c>
      <c r="B68" s="1">
        <v>4</v>
      </c>
    </row>
    <row r="69" spans="1:2" x14ac:dyDescent="0.25">
      <c r="A69" s="14" t="s">
        <v>77</v>
      </c>
      <c r="B69" s="1">
        <v>10</v>
      </c>
    </row>
    <row r="70" spans="1:2" x14ac:dyDescent="0.25">
      <c r="A70" s="14" t="s">
        <v>78</v>
      </c>
      <c r="B70" s="1">
        <v>6</v>
      </c>
    </row>
    <row r="71" spans="1:2" x14ac:dyDescent="0.25">
      <c r="A71" s="14" t="s">
        <v>91</v>
      </c>
      <c r="B71" s="3">
        <v>10</v>
      </c>
    </row>
  </sheetData>
  <mergeCells count="19">
    <mergeCell ref="E34:E37"/>
    <mergeCell ref="E30:E33"/>
    <mergeCell ref="E26:E29"/>
    <mergeCell ref="E22:E25"/>
    <mergeCell ref="J34:J37"/>
    <mergeCell ref="J30:J33"/>
    <mergeCell ref="J26:J29"/>
    <mergeCell ref="J22:J25"/>
    <mergeCell ref="J7:N7"/>
    <mergeCell ref="C2:C3"/>
    <mergeCell ref="E9:E11"/>
    <mergeCell ref="E12:E14"/>
    <mergeCell ref="E15:E17"/>
    <mergeCell ref="E7:I7"/>
    <mergeCell ref="E18:E20"/>
    <mergeCell ref="J9:J11"/>
    <mergeCell ref="J12:J14"/>
    <mergeCell ref="J15:J17"/>
    <mergeCell ref="J18:J20"/>
  </mergeCells>
  <conditionalFormatting sqref="I22:I37 N22:N37">
    <cfRule type="cellIs" dxfId="9" priority="1" operator="lessThan">
      <formula>-0.01</formula>
    </cfRule>
    <cfRule type="cellIs" dxfId="8" priority="2" operator="not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J1" zoomScaleNormal="100" workbookViewId="0">
      <selection activeCell="AF14" sqref="AF14"/>
    </sheetView>
  </sheetViews>
  <sheetFormatPr defaultRowHeight="15" x14ac:dyDescent="0.25"/>
  <cols>
    <col min="8" max="8" width="9.42578125" bestFit="1" customWidth="1"/>
    <col min="9" max="9" width="11.42578125" bestFit="1" customWidth="1"/>
  </cols>
  <sheetData>
    <row r="1" spans="1:12" x14ac:dyDescent="0.25">
      <c r="A1" s="2" t="s">
        <v>0</v>
      </c>
      <c r="B1" s="2" t="s">
        <v>1</v>
      </c>
      <c r="C1" s="15" t="s">
        <v>79</v>
      </c>
      <c r="E1" s="21"/>
      <c r="F1" s="184" t="s">
        <v>113</v>
      </c>
      <c r="G1" s="25" t="s">
        <v>38</v>
      </c>
      <c r="H1" s="25" t="s">
        <v>39</v>
      </c>
      <c r="I1" s="25" t="s">
        <v>85</v>
      </c>
      <c r="J1" s="25" t="s">
        <v>94</v>
      </c>
      <c r="K1" s="25" t="s">
        <v>87</v>
      </c>
      <c r="L1" s="25" t="s">
        <v>23</v>
      </c>
    </row>
    <row r="2" spans="1:12" x14ac:dyDescent="0.25">
      <c r="A2" s="2" t="s">
        <v>2</v>
      </c>
      <c r="B2" s="19">
        <v>9.9999999999999995E-7</v>
      </c>
      <c r="C2" s="205" t="s">
        <v>80</v>
      </c>
      <c r="E2" s="1" t="s">
        <v>34</v>
      </c>
      <c r="F2" s="1" t="s">
        <v>120</v>
      </c>
      <c r="G2" s="20">
        <v>432</v>
      </c>
      <c r="H2" s="20">
        <f>0.693/G2</f>
        <v>1.6041666666666665E-3</v>
      </c>
      <c r="I2" s="20">
        <f>(1-EXP(-(H2)*1))</f>
        <v>1.6028806790575612E-3</v>
      </c>
      <c r="J2" s="20">
        <f>'Isotope Specific Factors'!I3</f>
        <v>5.8100000000000005E-11</v>
      </c>
      <c r="K2" s="20">
        <f>'Isotope Specific Factors'!C19</f>
        <v>3.77E-8</v>
      </c>
      <c r="L2" s="20">
        <v>1</v>
      </c>
    </row>
    <row r="3" spans="1:12" x14ac:dyDescent="0.25">
      <c r="A3" s="2" t="s">
        <v>3</v>
      </c>
      <c r="B3" s="1">
        <v>1</v>
      </c>
      <c r="C3" s="206"/>
      <c r="E3" s="1" t="s">
        <v>35</v>
      </c>
      <c r="F3" s="1" t="s">
        <v>120</v>
      </c>
      <c r="G3" s="20">
        <v>5.27</v>
      </c>
      <c r="H3" s="20">
        <f t="shared" ref="H3:H5" si="0">0.693/G3</f>
        <v>0.13149905123339659</v>
      </c>
      <c r="I3" s="20">
        <f t="shared" ref="I3:I5" si="1">(1-EXP(-(H3)*1))</f>
        <v>0.12321989300291381</v>
      </c>
      <c r="J3" s="20">
        <f>'Isotope Specific Factors'!I4</f>
        <v>1.1299999999999999E-8</v>
      </c>
      <c r="K3" s="20">
        <f>'Isotope Specific Factors'!C24</f>
        <v>1.01E-10</v>
      </c>
      <c r="L3" s="20">
        <v>1</v>
      </c>
    </row>
    <row r="4" spans="1:12" x14ac:dyDescent="0.25">
      <c r="A4" s="12" t="s">
        <v>4</v>
      </c>
      <c r="B4" s="1">
        <f>$B$5*$B$6</f>
        <v>250</v>
      </c>
      <c r="E4" s="1" t="s">
        <v>36</v>
      </c>
      <c r="F4" s="1" t="s">
        <v>120</v>
      </c>
      <c r="G4" s="20">
        <v>12.3</v>
      </c>
      <c r="H4" s="20">
        <f t="shared" si="0"/>
        <v>5.6341463414634141E-2</v>
      </c>
      <c r="I4" s="20">
        <f t="shared" si="1"/>
        <v>5.4783676014250826E-2</v>
      </c>
      <c r="J4" s="20">
        <f>'Isotope Specific Factors'!I6</f>
        <v>0</v>
      </c>
      <c r="K4" s="20">
        <f>'Isotope Specific Factors'!C27</f>
        <v>8.4700000000000003E-13</v>
      </c>
      <c r="L4" s="20">
        <v>1</v>
      </c>
    </row>
    <row r="5" spans="1:12" x14ac:dyDescent="0.25">
      <c r="A5" s="2" t="s">
        <v>5</v>
      </c>
      <c r="B5" s="1">
        <v>50</v>
      </c>
      <c r="E5" s="1" t="s">
        <v>37</v>
      </c>
      <c r="F5" s="1" t="s">
        <v>120</v>
      </c>
      <c r="G5" s="20">
        <v>87.7</v>
      </c>
      <c r="H5" s="20">
        <f t="shared" si="0"/>
        <v>7.9019384264538192E-3</v>
      </c>
      <c r="I5" s="20">
        <f t="shared" si="1"/>
        <v>7.8708001824812079E-3</v>
      </c>
      <c r="J5" s="20">
        <f>'Isotope Specific Factors'!I7</f>
        <v>2.5600000000000002E-13</v>
      </c>
      <c r="K5" s="20">
        <f>'Isotope Specific Factors'!C31</f>
        <v>5.2199999999999998E-8</v>
      </c>
      <c r="L5" s="20">
        <v>1</v>
      </c>
    </row>
    <row r="6" spans="1:12" ht="15.75" thickBot="1" x14ac:dyDescent="0.3">
      <c r="A6" s="2" t="s">
        <v>6</v>
      </c>
      <c r="B6" s="1">
        <v>5</v>
      </c>
      <c r="F6" s="65"/>
      <c r="G6" s="65"/>
      <c r="H6" s="65"/>
      <c r="I6" s="65"/>
      <c r="J6" s="65"/>
      <c r="K6" s="65"/>
    </row>
    <row r="7" spans="1:12" x14ac:dyDescent="0.25">
      <c r="A7" s="2" t="s">
        <v>7</v>
      </c>
      <c r="B7" s="1">
        <v>1</v>
      </c>
      <c r="E7" s="66"/>
      <c r="F7" s="207" t="s">
        <v>92</v>
      </c>
      <c r="G7" s="208"/>
      <c r="H7" s="209"/>
      <c r="I7" s="210" t="s">
        <v>93</v>
      </c>
      <c r="J7" s="211"/>
      <c r="K7" s="212"/>
    </row>
    <row r="8" spans="1:12" ht="26.25" thickBot="1" x14ac:dyDescent="0.3">
      <c r="A8" s="2" t="s">
        <v>9</v>
      </c>
      <c r="B8" s="1">
        <v>8</v>
      </c>
      <c r="E8" s="67"/>
      <c r="F8" s="74" t="s">
        <v>28</v>
      </c>
      <c r="G8" s="28" t="s">
        <v>29</v>
      </c>
      <c r="H8" s="75" t="s">
        <v>30</v>
      </c>
      <c r="I8" s="76" t="s">
        <v>28</v>
      </c>
      <c r="J8" s="32" t="s">
        <v>29</v>
      </c>
      <c r="K8" s="77" t="s">
        <v>30</v>
      </c>
    </row>
    <row r="9" spans="1:12" x14ac:dyDescent="0.25">
      <c r="A9" s="2" t="s">
        <v>10</v>
      </c>
      <c r="B9" s="1">
        <v>60</v>
      </c>
      <c r="E9" s="202" t="s">
        <v>34</v>
      </c>
      <c r="F9" s="52">
        <f>$B$2*$B$3*H2</f>
        <v>1.6041666666666663E-9</v>
      </c>
      <c r="G9" s="52">
        <f>$B$2*$B$3*$H$2</f>
        <v>1.6041666666666663E-9</v>
      </c>
      <c r="H9" s="51">
        <f>1</f>
        <v>1</v>
      </c>
      <c r="I9" s="52">
        <f>$B$2</f>
        <v>9.9999999999999995E-7</v>
      </c>
      <c r="J9" s="52">
        <f>$B$2</f>
        <v>9.9999999999999995E-7</v>
      </c>
      <c r="K9" s="53">
        <f>1</f>
        <v>1</v>
      </c>
    </row>
    <row r="10" spans="1:12" x14ac:dyDescent="0.25">
      <c r="E10" s="203" t="s">
        <v>35</v>
      </c>
      <c r="F10" s="55">
        <f>I2*K2*$B$4*$B$7*$B$8*(1/24)*$B$9</f>
        <v>3.0214300800235029E-7</v>
      </c>
      <c r="G10" s="55">
        <f>I2*J2*$B$4*(1/365)*$B$7*$B$8*(1/24)*$L$2</f>
        <v>2.1261956039553496E-14</v>
      </c>
      <c r="H10" s="54">
        <f>(1/F11)+(1/G11)</f>
        <v>188.34890135956761</v>
      </c>
      <c r="I10" s="55">
        <f>K2*$B$4*$B$7*$B$8*(1/24)*$B$9</f>
        <v>1.885E-4</v>
      </c>
      <c r="J10" s="55">
        <f>J2*$B$4*(1/365)*$B$7*$B$8*(1/24)*$L$2</f>
        <v>1.3264840182648404E-11</v>
      </c>
      <c r="K10" s="56">
        <f>(1/I11)+(1/J11)</f>
        <v>188.50001326484019</v>
      </c>
    </row>
    <row r="11" spans="1:12" ht="15.75" thickBot="1" x14ac:dyDescent="0.3">
      <c r="E11" s="204" t="s">
        <v>36</v>
      </c>
      <c r="F11" s="87">
        <f>F9/F10</f>
        <v>5.3092960094386433E-3</v>
      </c>
      <c r="G11" s="88">
        <f t="shared" ref="G11:K11" si="2">G9/G10</f>
        <v>75447.746373026268</v>
      </c>
      <c r="H11" s="89">
        <f t="shared" si="2"/>
        <v>5.3092956358208286E-3</v>
      </c>
      <c r="I11" s="87">
        <f t="shared" si="2"/>
        <v>5.3050397877984082E-3</v>
      </c>
      <c r="J11" s="88">
        <f t="shared" si="2"/>
        <v>75387.26333907056</v>
      </c>
      <c r="K11" s="90">
        <f t="shared" si="2"/>
        <v>5.3050394144801057E-3</v>
      </c>
    </row>
    <row r="12" spans="1:12" x14ac:dyDescent="0.25">
      <c r="E12" s="202" t="s">
        <v>35</v>
      </c>
      <c r="F12" s="52">
        <f>$B$2*$B$3*H3</f>
        <v>1.3149905123339657E-7</v>
      </c>
      <c r="G12" s="52">
        <f>$B$2*$B$3*H3</f>
        <v>1.3149905123339657E-7</v>
      </c>
      <c r="H12" s="51">
        <f>1</f>
        <v>1</v>
      </c>
      <c r="I12" s="52">
        <f>$B$2</f>
        <v>9.9999999999999995E-7</v>
      </c>
      <c r="J12" s="52">
        <f>$B$2</f>
        <v>9.9999999999999995E-7</v>
      </c>
      <c r="K12" s="53">
        <f>1</f>
        <v>1</v>
      </c>
    </row>
    <row r="13" spans="1:12" x14ac:dyDescent="0.25">
      <c r="E13" s="203" t="s">
        <v>34</v>
      </c>
      <c r="F13" s="55">
        <f>I3*K3*$B$4*$B$7*$B$8*(1/24)*$B$9</f>
        <v>6.222604596647147E-8</v>
      </c>
      <c r="G13" s="55">
        <f>I3*J3*$B$4*(1/365)*$B$7*$B$8*(1/24)*$L$3</f>
        <v>3.1789607098925246E-10</v>
      </c>
      <c r="H13" s="54">
        <f>(1/F14)+(1/G14)</f>
        <v>0.47562276268025683</v>
      </c>
      <c r="I13" s="55">
        <f>K3*$B$4*$B$7*$B$8*(1/24)*$B$9</f>
        <v>5.0499999999999993E-7</v>
      </c>
      <c r="J13" s="55">
        <f>J3*$B$4*(1/365)*$B$7*$B$8*(1/24)*$L$3</f>
        <v>2.5799086757990863E-9</v>
      </c>
      <c r="K13" s="56">
        <f>(1/I14)+(1/J14)</f>
        <v>0.50757990867579894</v>
      </c>
    </row>
    <row r="14" spans="1:12" ht="15.75" thickBot="1" x14ac:dyDescent="0.3">
      <c r="E14" s="204" t="s">
        <v>35</v>
      </c>
      <c r="F14" s="87">
        <f>F12/F13</f>
        <v>2.1132477436257266</v>
      </c>
      <c r="G14" s="88">
        <f t="shared" ref="G14:K14" si="3">G12/G13</f>
        <v>413.65421983413671</v>
      </c>
      <c r="H14" s="89">
        <f t="shared" si="3"/>
        <v>2.1025066049504071</v>
      </c>
      <c r="I14" s="87">
        <f t="shared" si="3"/>
        <v>1.9801980198019804</v>
      </c>
      <c r="J14" s="88">
        <f t="shared" si="3"/>
        <v>387.61061946902663</v>
      </c>
      <c r="K14" s="90">
        <f t="shared" si="3"/>
        <v>1.9701331414177767</v>
      </c>
    </row>
    <row r="15" spans="1:12" x14ac:dyDescent="0.25">
      <c r="E15" s="202" t="s">
        <v>36</v>
      </c>
      <c r="F15" s="52">
        <f>$B$2*$B$3*H4</f>
        <v>5.6341463414634135E-8</v>
      </c>
      <c r="G15" s="57"/>
      <c r="H15" s="51">
        <f>1</f>
        <v>1</v>
      </c>
      <c r="I15" s="52">
        <f>$B$2</f>
        <v>9.9999999999999995E-7</v>
      </c>
      <c r="J15" s="57"/>
      <c r="K15" s="53">
        <f>1</f>
        <v>1</v>
      </c>
    </row>
    <row r="16" spans="1:12" x14ac:dyDescent="0.25">
      <c r="E16" s="203" t="s">
        <v>37</v>
      </c>
      <c r="F16" s="55">
        <f>I4*K4*$B$4*$B$7*$B$8*(1/24)*$B$9</f>
        <v>2.3200886792035225E-10</v>
      </c>
      <c r="G16" s="58"/>
      <c r="H16" s="54">
        <f>(1/F17)</f>
        <v>4.1179063137378544E-3</v>
      </c>
      <c r="I16" s="55">
        <f>K4*$B$4*$B$7*$B$8*(1/24)*$B$9</f>
        <v>4.2350000000000004E-9</v>
      </c>
      <c r="J16" s="58"/>
      <c r="K16" s="56">
        <f>(1/I17)</f>
        <v>4.2350000000000009E-3</v>
      </c>
    </row>
    <row r="17" spans="5:11" ht="15.75" thickBot="1" x14ac:dyDescent="0.3">
      <c r="E17" s="204" t="s">
        <v>34</v>
      </c>
      <c r="F17" s="87">
        <f>F15/F16</f>
        <v>242.8418530707884</v>
      </c>
      <c r="G17" s="91"/>
      <c r="H17" s="89">
        <f t="shared" ref="H17:I17" si="4">H15/H16</f>
        <v>242.84185307078843</v>
      </c>
      <c r="I17" s="87">
        <f t="shared" si="4"/>
        <v>236.12750885478155</v>
      </c>
      <c r="J17" s="91"/>
      <c r="K17" s="90">
        <f t="shared" ref="K17" si="5">K15/K16</f>
        <v>236.12750885478152</v>
      </c>
    </row>
    <row r="18" spans="5:11" x14ac:dyDescent="0.25">
      <c r="E18" s="202" t="s">
        <v>37</v>
      </c>
      <c r="F18" s="52">
        <f>$B$2*$B$3*$H$5</f>
        <v>7.9019384264538188E-9</v>
      </c>
      <c r="G18" s="52">
        <f>$B$2*$B$3*$H$5</f>
        <v>7.9019384264538188E-9</v>
      </c>
      <c r="H18" s="51">
        <f>1</f>
        <v>1</v>
      </c>
      <c r="I18" s="52">
        <f>$B$2</f>
        <v>9.9999999999999995E-7</v>
      </c>
      <c r="J18" s="52">
        <f>$B$2</f>
        <v>9.9999999999999995E-7</v>
      </c>
      <c r="K18" s="53">
        <f>1</f>
        <v>1</v>
      </c>
    </row>
    <row r="19" spans="5:11" x14ac:dyDescent="0.25">
      <c r="E19" s="203" t="s">
        <v>36</v>
      </c>
      <c r="F19" s="55">
        <f>I5*K5*$B$4*$B$7*$B$8*(1/24)*$B$9</f>
        <v>2.0542788476275951E-6</v>
      </c>
      <c r="G19" s="55">
        <f>I5*J5*$B$4*(1/365)*$B$7*$B$8*(1/24)*$L$5</f>
        <v>4.6002850381625325E-16</v>
      </c>
      <c r="H19" s="54">
        <f>(1/F20)+(1/G20)</f>
        <v>259.97150790372956</v>
      </c>
      <c r="I19" s="55">
        <f>K5*$B$4*$B$7*$B$8*(1/24)*$B$9</f>
        <v>2.6099999999999995E-4</v>
      </c>
      <c r="J19" s="55">
        <f>J5*$B$4*(1/365)*$B$7*$B$8*(1/24)*$L$5</f>
        <v>5.8447488584474887E-14</v>
      </c>
      <c r="K19" s="56">
        <f>(1/I20)+(1/J20)</f>
        <v>261.00000005844743</v>
      </c>
    </row>
    <row r="20" spans="5:11" ht="15.75" thickBot="1" x14ac:dyDescent="0.3">
      <c r="E20" s="204" t="s">
        <v>37</v>
      </c>
      <c r="F20" s="87">
        <f>F18/F19</f>
        <v>3.8465753739223151E-3</v>
      </c>
      <c r="G20" s="88">
        <f t="shared" ref="G20:K20" si="6">G18/G19</f>
        <v>17177062.640470747</v>
      </c>
      <c r="H20" s="89">
        <f t="shared" si="6"/>
        <v>3.846575373060926E-3</v>
      </c>
      <c r="I20" s="87">
        <f t="shared" si="6"/>
        <v>3.8314176245210735E-3</v>
      </c>
      <c r="J20" s="88">
        <f t="shared" si="6"/>
        <v>17109375</v>
      </c>
      <c r="K20" s="90">
        <f t="shared" si="6"/>
        <v>3.8314176236630784E-3</v>
      </c>
    </row>
    <row r="21" spans="5:11" ht="15.75" thickBot="1" x14ac:dyDescent="0.3">
      <c r="E21" s="69"/>
      <c r="F21" s="68"/>
      <c r="G21" s="6"/>
      <c r="H21" s="5" t="s">
        <v>31</v>
      </c>
      <c r="I21" s="5" t="s">
        <v>32</v>
      </c>
      <c r="J21" s="71" t="s">
        <v>33</v>
      </c>
    </row>
    <row r="22" spans="5:11" x14ac:dyDescent="0.25">
      <c r="E22" s="70"/>
      <c r="F22" s="213" t="s">
        <v>34</v>
      </c>
      <c r="G22" s="78" t="s">
        <v>28</v>
      </c>
      <c r="H22" s="42">
        <v>5.3099999999999996E-3</v>
      </c>
      <c r="I22" s="42">
        <v>5.3E-3</v>
      </c>
      <c r="J22" s="59">
        <f>(H22-I22)/((1/2)*(H22+I22))</f>
        <v>1.8850141376059552E-3</v>
      </c>
    </row>
    <row r="23" spans="5:11" x14ac:dyDescent="0.25">
      <c r="E23" s="70"/>
      <c r="F23" s="214"/>
      <c r="G23" s="79" t="s">
        <v>29</v>
      </c>
      <c r="H23" s="20">
        <v>75400</v>
      </c>
      <c r="I23" s="20">
        <v>75500</v>
      </c>
      <c r="J23" s="60">
        <f t="shared" ref="J23:J45" si="7">(H23-I23)/((1/2)*(H23+I23))</f>
        <v>-1.3253810470510272E-3</v>
      </c>
    </row>
    <row r="24" spans="5:11" ht="15.75" thickBot="1" x14ac:dyDescent="0.3">
      <c r="F24" s="215"/>
      <c r="G24" s="80" t="s">
        <v>30</v>
      </c>
      <c r="H24" s="72">
        <v>5.3099999999999996E-3</v>
      </c>
      <c r="I24" s="72">
        <v>5.3E-3</v>
      </c>
      <c r="J24" s="73">
        <f t="shared" si="7"/>
        <v>1.8850141376059552E-3</v>
      </c>
    </row>
    <row r="25" spans="5:11" x14ac:dyDescent="0.25">
      <c r="F25" s="215"/>
      <c r="G25" s="81" t="s">
        <v>28</v>
      </c>
      <c r="H25" s="62">
        <v>5.3099999999999996E-3</v>
      </c>
      <c r="I25" s="62">
        <v>5.3E-3</v>
      </c>
      <c r="J25" s="63">
        <f t="shared" si="7"/>
        <v>1.8850141376059552E-3</v>
      </c>
    </row>
    <row r="26" spans="5:11" x14ac:dyDescent="0.25">
      <c r="F26" s="215"/>
      <c r="G26" s="82" t="s">
        <v>29</v>
      </c>
      <c r="H26" s="20">
        <v>75400</v>
      </c>
      <c r="I26" s="20">
        <v>75500</v>
      </c>
      <c r="J26" s="60">
        <f t="shared" si="7"/>
        <v>-1.3253810470510272E-3</v>
      </c>
    </row>
    <row r="27" spans="5:11" ht="15.75" thickBot="1" x14ac:dyDescent="0.3">
      <c r="F27" s="216"/>
      <c r="G27" s="83" t="s">
        <v>30</v>
      </c>
      <c r="H27" s="45">
        <v>5.3099999999999996E-3</v>
      </c>
      <c r="I27" s="45">
        <v>5.3E-3</v>
      </c>
      <c r="J27" s="61">
        <f t="shared" si="7"/>
        <v>1.8850141376059552E-3</v>
      </c>
    </row>
    <row r="28" spans="5:11" x14ac:dyDescent="0.25">
      <c r="F28" s="199" t="s">
        <v>35</v>
      </c>
      <c r="G28" s="78" t="s">
        <v>28</v>
      </c>
      <c r="H28" s="42">
        <v>2.11</v>
      </c>
      <c r="I28" s="42">
        <v>2.12</v>
      </c>
      <c r="J28" s="59">
        <f t="shared" si="7"/>
        <v>-4.7281323877069641E-3</v>
      </c>
    </row>
    <row r="29" spans="5:11" x14ac:dyDescent="0.25">
      <c r="F29" s="200"/>
      <c r="G29" s="79" t="s">
        <v>29</v>
      </c>
      <c r="H29" s="20">
        <v>414</v>
      </c>
      <c r="I29" s="20">
        <v>416</v>
      </c>
      <c r="J29" s="60">
        <f t="shared" si="7"/>
        <v>-4.8192771084337354E-3</v>
      </c>
    </row>
    <row r="30" spans="5:11" ht="15.75" thickBot="1" x14ac:dyDescent="0.3">
      <c r="F30" s="200"/>
      <c r="G30" s="80" t="s">
        <v>30</v>
      </c>
      <c r="H30" s="72">
        <v>2.1</v>
      </c>
      <c r="I30" s="72">
        <v>2.11</v>
      </c>
      <c r="J30" s="73">
        <f t="shared" si="7"/>
        <v>-4.7505938242279272E-3</v>
      </c>
    </row>
    <row r="31" spans="5:11" x14ac:dyDescent="0.25">
      <c r="F31" s="200"/>
      <c r="G31" s="81" t="s">
        <v>28</v>
      </c>
      <c r="H31" s="62">
        <v>1.98</v>
      </c>
      <c r="I31" s="62">
        <v>1.99</v>
      </c>
      <c r="J31" s="63">
        <f t="shared" si="7"/>
        <v>-5.0377833753148665E-3</v>
      </c>
    </row>
    <row r="32" spans="5:11" x14ac:dyDescent="0.25">
      <c r="F32" s="200"/>
      <c r="G32" s="82" t="s">
        <v>29</v>
      </c>
      <c r="H32" s="20">
        <v>388</v>
      </c>
      <c r="I32" s="20">
        <v>390</v>
      </c>
      <c r="J32" s="60">
        <f t="shared" si="7"/>
        <v>-5.1413881748071976E-3</v>
      </c>
    </row>
    <row r="33" spans="6:10" ht="15.75" thickBot="1" x14ac:dyDescent="0.3">
      <c r="F33" s="201"/>
      <c r="G33" s="83" t="s">
        <v>30</v>
      </c>
      <c r="H33" s="45">
        <v>1.97</v>
      </c>
      <c r="I33" s="45">
        <v>1.98</v>
      </c>
      <c r="J33" s="61">
        <f t="shared" si="7"/>
        <v>-5.0632911392405108E-3</v>
      </c>
    </row>
    <row r="34" spans="6:10" x14ac:dyDescent="0.25">
      <c r="F34" s="199" t="s">
        <v>36</v>
      </c>
      <c r="G34" s="78" t="s">
        <v>28</v>
      </c>
      <c r="H34" s="42">
        <v>243</v>
      </c>
      <c r="I34" s="42">
        <v>243</v>
      </c>
      <c r="J34" s="59">
        <f t="shared" si="7"/>
        <v>0</v>
      </c>
    </row>
    <row r="35" spans="6:10" x14ac:dyDescent="0.25">
      <c r="F35" s="200"/>
      <c r="G35" s="79" t="s">
        <v>29</v>
      </c>
      <c r="H35" s="58"/>
      <c r="I35" s="58"/>
      <c r="J35" s="64"/>
    </row>
    <row r="36" spans="6:10" ht="15.75" thickBot="1" x14ac:dyDescent="0.3">
      <c r="F36" s="200"/>
      <c r="G36" s="80" t="s">
        <v>30</v>
      </c>
      <c r="H36" s="72">
        <v>243</v>
      </c>
      <c r="I36" s="72">
        <v>243</v>
      </c>
      <c r="J36" s="73">
        <f t="shared" si="7"/>
        <v>0</v>
      </c>
    </row>
    <row r="37" spans="6:10" x14ac:dyDescent="0.25">
      <c r="F37" s="200"/>
      <c r="G37" s="81" t="s">
        <v>28</v>
      </c>
      <c r="H37" s="62">
        <v>236</v>
      </c>
      <c r="I37" s="62">
        <v>236</v>
      </c>
      <c r="J37" s="63">
        <f t="shared" si="7"/>
        <v>0</v>
      </c>
    </row>
    <row r="38" spans="6:10" x14ac:dyDescent="0.25">
      <c r="F38" s="200"/>
      <c r="G38" s="82" t="s">
        <v>29</v>
      </c>
      <c r="H38" s="58"/>
      <c r="I38" s="58"/>
      <c r="J38" s="64"/>
    </row>
    <row r="39" spans="6:10" ht="15.75" thickBot="1" x14ac:dyDescent="0.3">
      <c r="F39" s="201"/>
      <c r="G39" s="83" t="s">
        <v>30</v>
      </c>
      <c r="H39" s="45">
        <v>236</v>
      </c>
      <c r="I39" s="45">
        <v>236</v>
      </c>
      <c r="J39" s="61">
        <f t="shared" si="7"/>
        <v>0</v>
      </c>
    </row>
    <row r="40" spans="6:10" x14ac:dyDescent="0.25">
      <c r="F40" s="199" t="s">
        <v>37</v>
      </c>
      <c r="G40" s="78" t="s">
        <v>28</v>
      </c>
      <c r="H40" s="42">
        <v>3.8500000000000001E-3</v>
      </c>
      <c r="I40" s="42">
        <v>3.8500000000000001E-3</v>
      </c>
      <c r="J40" s="59">
        <f t="shared" si="7"/>
        <v>0</v>
      </c>
    </row>
    <row r="41" spans="6:10" x14ac:dyDescent="0.25">
      <c r="F41" s="200"/>
      <c r="G41" s="79" t="s">
        <v>29</v>
      </c>
      <c r="H41" s="20">
        <v>17200000</v>
      </c>
      <c r="I41" s="20">
        <v>17200000</v>
      </c>
      <c r="J41" s="60">
        <f t="shared" si="7"/>
        <v>0</v>
      </c>
    </row>
    <row r="42" spans="6:10" ht="15.75" thickBot="1" x14ac:dyDescent="0.3">
      <c r="F42" s="200"/>
      <c r="G42" s="80" t="s">
        <v>30</v>
      </c>
      <c r="H42" s="72">
        <v>3.8500000000000001E-3</v>
      </c>
      <c r="I42" s="72">
        <v>3.8500000000000001E-3</v>
      </c>
      <c r="J42" s="73">
        <f t="shared" si="7"/>
        <v>0</v>
      </c>
    </row>
    <row r="43" spans="6:10" x14ac:dyDescent="0.25">
      <c r="F43" s="200"/>
      <c r="G43" s="81" t="s">
        <v>28</v>
      </c>
      <c r="H43" s="62">
        <v>3.8300000000000001E-3</v>
      </c>
      <c r="I43" s="62">
        <v>3.8300000000000001E-3</v>
      </c>
      <c r="J43" s="63">
        <f t="shared" si="7"/>
        <v>0</v>
      </c>
    </row>
    <row r="44" spans="6:10" x14ac:dyDescent="0.25">
      <c r="F44" s="200"/>
      <c r="G44" s="82" t="s">
        <v>29</v>
      </c>
      <c r="H44" s="20">
        <v>17100000</v>
      </c>
      <c r="I44" s="20">
        <v>17100000</v>
      </c>
      <c r="J44" s="60">
        <f t="shared" si="7"/>
        <v>0</v>
      </c>
    </row>
    <row r="45" spans="6:10" ht="15.75" thickBot="1" x14ac:dyDescent="0.3">
      <c r="F45" s="201"/>
      <c r="G45" s="83" t="s">
        <v>30</v>
      </c>
      <c r="H45" s="45">
        <v>3.8300000000000001E-3</v>
      </c>
      <c r="I45" s="45">
        <v>3.8300000000000001E-3</v>
      </c>
      <c r="J45" s="61">
        <f t="shared" si="7"/>
        <v>0</v>
      </c>
    </row>
  </sheetData>
  <mergeCells count="11">
    <mergeCell ref="E18:E20"/>
    <mergeCell ref="F22:F27"/>
    <mergeCell ref="F28:F33"/>
    <mergeCell ref="F34:F39"/>
    <mergeCell ref="F40:F45"/>
    <mergeCell ref="E15:E17"/>
    <mergeCell ref="C2:C3"/>
    <mergeCell ref="F7:H7"/>
    <mergeCell ref="I7:K7"/>
    <mergeCell ref="E9:E11"/>
    <mergeCell ref="E12:E14"/>
  </mergeCells>
  <conditionalFormatting sqref="J22:J45">
    <cfRule type="cellIs" dxfId="7" priority="1" operator="lessThan">
      <formula>-0.01</formula>
    </cfRule>
    <cfRule type="cellIs" dxfId="6" priority="2" operator="not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zoomScaleNormal="100" workbookViewId="0">
      <selection activeCell="AA27" sqref="AA27"/>
    </sheetView>
  </sheetViews>
  <sheetFormatPr defaultRowHeight="15" x14ac:dyDescent="0.25"/>
  <cols>
    <col min="3" max="3" width="7.140625" customWidth="1"/>
    <col min="4" max="4" width="11.7109375" bestFit="1" customWidth="1"/>
    <col min="5" max="5" width="9.7109375" customWidth="1"/>
    <col min="6" max="6" width="10.7109375" bestFit="1" customWidth="1"/>
    <col min="7" max="7" width="11.5703125" bestFit="1" customWidth="1"/>
    <col min="8" max="8" width="9.5703125" bestFit="1" customWidth="1"/>
    <col min="9" max="10" width="9.7109375" bestFit="1" customWidth="1"/>
    <col min="11" max="11" width="11.7109375" bestFit="1" customWidth="1"/>
    <col min="12" max="13" width="10.7109375" bestFit="1" customWidth="1"/>
    <col min="14" max="14" width="9.85546875" customWidth="1"/>
    <col min="15" max="15" width="9.28515625" customWidth="1"/>
    <col min="17" max="17" width="7.140625" customWidth="1"/>
    <col min="18" max="18" width="10.28515625" customWidth="1"/>
    <col min="19" max="20" width="9.7109375" customWidth="1"/>
    <col min="21" max="21" width="10.5703125" customWidth="1"/>
    <col min="22" max="22" width="9.28515625" customWidth="1"/>
  </cols>
  <sheetData>
    <row r="1" spans="1:22" x14ac:dyDescent="0.25">
      <c r="A1" s="92" t="s">
        <v>0</v>
      </c>
      <c r="B1" s="93" t="s">
        <v>1</v>
      </c>
      <c r="C1" s="98"/>
      <c r="D1" s="187" t="s">
        <v>113</v>
      </c>
      <c r="E1" s="99" t="s">
        <v>38</v>
      </c>
      <c r="F1" s="99" t="s">
        <v>39</v>
      </c>
      <c r="G1" s="99" t="s">
        <v>85</v>
      </c>
      <c r="H1" s="99" t="s">
        <v>88</v>
      </c>
      <c r="I1" s="99" t="s">
        <v>95</v>
      </c>
      <c r="J1" s="99" t="s">
        <v>96</v>
      </c>
      <c r="K1" s="99" t="s">
        <v>97</v>
      </c>
      <c r="L1" s="99" t="s">
        <v>98</v>
      </c>
      <c r="M1" s="100" t="s">
        <v>103</v>
      </c>
    </row>
    <row r="2" spans="1:22" x14ac:dyDescent="0.25">
      <c r="A2" s="94" t="s">
        <v>2</v>
      </c>
      <c r="B2" s="38">
        <v>9.9999999999999995E-7</v>
      </c>
      <c r="C2" s="101" t="s">
        <v>34</v>
      </c>
      <c r="D2" s="185" t="s">
        <v>120</v>
      </c>
      <c r="E2" s="20">
        <v>432</v>
      </c>
      <c r="F2" s="20">
        <f>0.693/E2</f>
        <v>1.6041666666666665E-3</v>
      </c>
      <c r="G2" s="20">
        <f>(1-EXP(-(F2)*1))</f>
        <v>1.6028806790575612E-3</v>
      </c>
      <c r="H2" s="20">
        <f>'Isotope Specific Factors'!D3</f>
        <v>2.77E-8</v>
      </c>
      <c r="I2" s="20">
        <f>'Isotope Specific Factors'!E3</f>
        <v>1.3799999999999999E-8</v>
      </c>
      <c r="J2" s="20">
        <f>'Isotope Specific Factors'!F3</f>
        <v>2.5799999999999999E-8</v>
      </c>
      <c r="K2" s="20">
        <f>'Isotope Specific Factors'!G3</f>
        <v>2.77E-8</v>
      </c>
      <c r="L2" s="20">
        <f>'Isotope Specific Factors'!C3</f>
        <v>1.8699999999999999E-8</v>
      </c>
      <c r="M2" s="56">
        <v>1</v>
      </c>
    </row>
    <row r="3" spans="1:22" x14ac:dyDescent="0.25">
      <c r="A3" s="94" t="s">
        <v>3</v>
      </c>
      <c r="B3" s="95">
        <v>1</v>
      </c>
      <c r="C3" s="101" t="s">
        <v>35</v>
      </c>
      <c r="D3" s="185" t="s">
        <v>120</v>
      </c>
      <c r="E3" s="20">
        <v>5.27</v>
      </c>
      <c r="F3" s="20">
        <f t="shared" ref="F3:F5" si="0">0.693/E3</f>
        <v>0.13149905123339659</v>
      </c>
      <c r="G3" s="20">
        <f t="shared" ref="G3:G5" si="1">(1-EXP(-(F3)*1))</f>
        <v>0.12321989300291381</v>
      </c>
      <c r="H3" s="20">
        <f>'Isotope Specific Factors'!D4</f>
        <v>1.24E-5</v>
      </c>
      <c r="I3" s="20">
        <f>'Isotope Specific Factors'!E4</f>
        <v>2.26E-6</v>
      </c>
      <c r="J3" s="20">
        <f>'Isotope Specific Factors'!F4</f>
        <v>6.4899999999999997E-6</v>
      </c>
      <c r="K3" s="20">
        <f>'Isotope Specific Factors'!G4</f>
        <v>1.04E-5</v>
      </c>
      <c r="L3" s="20">
        <f>'Isotope Specific Factors'!C4</f>
        <v>2.1900000000000002E-6</v>
      </c>
      <c r="M3" s="56">
        <v>1</v>
      </c>
    </row>
    <row r="4" spans="1:22" x14ac:dyDescent="0.25">
      <c r="A4" s="96" t="s">
        <v>4</v>
      </c>
      <c r="B4" s="95">
        <f>$B$5*$B$6</f>
        <v>250</v>
      </c>
      <c r="C4" s="101" t="s">
        <v>36</v>
      </c>
      <c r="D4" s="185" t="s">
        <v>120</v>
      </c>
      <c r="E4" s="20">
        <v>12.3</v>
      </c>
      <c r="F4" s="20">
        <f t="shared" si="0"/>
        <v>5.6341463414634141E-2</v>
      </c>
      <c r="G4" s="20">
        <f t="shared" si="1"/>
        <v>5.4783676014250826E-2</v>
      </c>
      <c r="H4" s="20">
        <f>'Isotope Specific Factors'!D6</f>
        <v>0</v>
      </c>
      <c r="I4" s="20">
        <f>'Isotope Specific Factors'!E6</f>
        <v>0</v>
      </c>
      <c r="J4" s="20">
        <f>'Isotope Specific Factors'!F6</f>
        <v>0</v>
      </c>
      <c r="K4" s="20">
        <f>'Isotope Specific Factors'!G6</f>
        <v>0</v>
      </c>
      <c r="L4" s="20">
        <f>'Isotope Specific Factors'!C6</f>
        <v>0</v>
      </c>
      <c r="M4" s="56">
        <v>1</v>
      </c>
    </row>
    <row r="5" spans="1:22" ht="15.75" thickBot="1" x14ac:dyDescent="0.3">
      <c r="A5" s="94" t="s">
        <v>5</v>
      </c>
      <c r="B5" s="95">
        <v>50</v>
      </c>
      <c r="C5" s="102" t="s">
        <v>37</v>
      </c>
      <c r="D5" s="186" t="s">
        <v>120</v>
      </c>
      <c r="E5" s="45">
        <v>87.7</v>
      </c>
      <c r="F5" s="45">
        <f t="shared" si="0"/>
        <v>7.9019384264538192E-3</v>
      </c>
      <c r="G5" s="45">
        <f t="shared" si="1"/>
        <v>7.8708001824812079E-3</v>
      </c>
      <c r="H5" s="45">
        <f>'Isotope Specific Factors'!D7</f>
        <v>6.9200000000000004E-11</v>
      </c>
      <c r="I5" s="45">
        <f>'Isotope Specific Factors'!E7</f>
        <v>4.8100000000000001E-11</v>
      </c>
      <c r="J5" s="45">
        <f>'Isotope Specific Factors'!F7</f>
        <v>6.3000000000000002E-11</v>
      </c>
      <c r="K5" s="45">
        <f>'Isotope Specific Factors'!G7</f>
        <v>6.8700000000000006E-11</v>
      </c>
      <c r="L5" s="45">
        <f>'Isotope Specific Factors'!C7</f>
        <v>3.6800000000000002E-10</v>
      </c>
      <c r="M5" s="103">
        <v>1</v>
      </c>
    </row>
    <row r="6" spans="1:22" ht="15.75" thickBot="1" x14ac:dyDescent="0.3">
      <c r="A6" s="94" t="s">
        <v>6</v>
      </c>
      <c r="B6" s="95">
        <v>5</v>
      </c>
      <c r="C6" s="108"/>
      <c r="D6" s="109"/>
      <c r="E6" s="109"/>
      <c r="F6" s="109"/>
      <c r="G6" s="109"/>
      <c r="H6" s="110"/>
      <c r="I6" s="107"/>
    </row>
    <row r="7" spans="1:22" x14ac:dyDescent="0.25">
      <c r="A7" s="94" t="s">
        <v>7</v>
      </c>
      <c r="B7" s="104">
        <v>1</v>
      </c>
      <c r="C7" s="111"/>
      <c r="D7" s="112" t="s">
        <v>24</v>
      </c>
      <c r="E7" s="112" t="s">
        <v>99</v>
      </c>
      <c r="F7" s="112" t="s">
        <v>100</v>
      </c>
      <c r="G7" s="112" t="s">
        <v>101</v>
      </c>
      <c r="H7" s="113" t="s">
        <v>102</v>
      </c>
      <c r="I7" s="11"/>
      <c r="J7" s="111"/>
      <c r="K7" s="130" t="s">
        <v>24</v>
      </c>
      <c r="L7" s="130" t="s">
        <v>99</v>
      </c>
      <c r="M7" s="130" t="s">
        <v>100</v>
      </c>
      <c r="N7" s="130" t="s">
        <v>101</v>
      </c>
      <c r="O7" s="131" t="s">
        <v>102</v>
      </c>
      <c r="Q7" s="111"/>
      <c r="R7" s="139" t="s">
        <v>24</v>
      </c>
      <c r="S7" s="139" t="s">
        <v>99</v>
      </c>
      <c r="T7" s="139" t="s">
        <v>100</v>
      </c>
      <c r="U7" s="139" t="s">
        <v>101</v>
      </c>
      <c r="V7" s="140" t="s">
        <v>102</v>
      </c>
    </row>
    <row r="8" spans="1:22" ht="15.75" thickBot="1" x14ac:dyDescent="0.3">
      <c r="A8" s="97" t="s">
        <v>9</v>
      </c>
      <c r="B8" s="105">
        <v>8</v>
      </c>
      <c r="C8" s="101" t="s">
        <v>34</v>
      </c>
      <c r="D8" s="20">
        <v>0.108</v>
      </c>
      <c r="E8" s="20">
        <v>9.4600000000000004E-2</v>
      </c>
      <c r="F8" s="20">
        <v>9.5000000000000001E-2</v>
      </c>
      <c r="G8" s="20">
        <v>9.69E-2</v>
      </c>
      <c r="H8" s="56">
        <v>8.4400000000000003E-2</v>
      </c>
      <c r="I8" s="135"/>
      <c r="J8" s="101" t="s">
        <v>34</v>
      </c>
      <c r="K8" s="20">
        <v>0.19400000000000001</v>
      </c>
      <c r="L8" s="20">
        <v>0.16700000000000001</v>
      </c>
      <c r="M8" s="20">
        <v>0.16700000000000001</v>
      </c>
      <c r="N8" s="20">
        <v>0.16400000000000001</v>
      </c>
      <c r="O8" s="56">
        <v>0.15</v>
      </c>
      <c r="Q8" s="101" t="s">
        <v>34</v>
      </c>
      <c r="R8" s="20">
        <v>0.32</v>
      </c>
      <c r="S8" s="20">
        <v>0.29699999999999999</v>
      </c>
      <c r="T8" s="20">
        <v>0.28999999999999998</v>
      </c>
      <c r="U8" s="20">
        <v>0.28499999999999998</v>
      </c>
      <c r="V8" s="56">
        <v>0.27100000000000002</v>
      </c>
    </row>
    <row r="9" spans="1:22" x14ac:dyDescent="0.25">
      <c r="C9" s="101" t="s">
        <v>35</v>
      </c>
      <c r="D9" s="20">
        <v>9.8299999999999998E-2</v>
      </c>
      <c r="E9" s="20">
        <v>4.2599999999999999E-2</v>
      </c>
      <c r="F9" s="20">
        <v>6.5500000000000003E-2</v>
      </c>
      <c r="G9" s="20">
        <v>8.4900000000000003E-2</v>
      </c>
      <c r="H9" s="56">
        <v>2.8299999999999999E-2</v>
      </c>
      <c r="I9" s="135"/>
      <c r="J9" s="101" t="s">
        <v>35</v>
      </c>
      <c r="K9" s="20">
        <v>0.17699999999999999</v>
      </c>
      <c r="L9" s="20">
        <v>7.9799999999999996E-2</v>
      </c>
      <c r="M9" s="20">
        <v>0.122</v>
      </c>
      <c r="N9" s="20">
        <v>0.159</v>
      </c>
      <c r="O9" s="56">
        <v>5.21E-2</v>
      </c>
      <c r="Q9" s="101" t="s">
        <v>35</v>
      </c>
      <c r="R9" s="20">
        <v>0.33300000000000002</v>
      </c>
      <c r="S9" s="20">
        <v>0.14799999999999999</v>
      </c>
      <c r="T9" s="20">
        <v>0.222</v>
      </c>
      <c r="U9" s="20">
        <v>0.28799999999999998</v>
      </c>
      <c r="V9" s="56">
        <v>9.8599999999999993E-2</v>
      </c>
    </row>
    <row r="10" spans="1:22" x14ac:dyDescent="0.25">
      <c r="C10" s="101" t="s">
        <v>36</v>
      </c>
      <c r="D10" s="20">
        <v>0.9</v>
      </c>
      <c r="E10" s="20">
        <v>0.9</v>
      </c>
      <c r="F10" s="20">
        <v>0.9</v>
      </c>
      <c r="G10" s="20">
        <v>0.9</v>
      </c>
      <c r="H10" s="56">
        <v>0.9</v>
      </c>
      <c r="I10" s="135"/>
      <c r="J10" s="101" t="s">
        <v>36</v>
      </c>
      <c r="K10" s="20">
        <v>0.9</v>
      </c>
      <c r="L10" s="20">
        <v>0.9</v>
      </c>
      <c r="M10" s="20">
        <v>0.9</v>
      </c>
      <c r="N10" s="20">
        <v>0.9</v>
      </c>
      <c r="O10" s="56">
        <v>0.9</v>
      </c>
      <c r="Q10" s="101" t="s">
        <v>36</v>
      </c>
      <c r="R10" s="20">
        <v>0.9</v>
      </c>
      <c r="S10" s="20">
        <v>0.9</v>
      </c>
      <c r="T10" s="20">
        <v>0.9</v>
      </c>
      <c r="U10" s="20">
        <v>0.9</v>
      </c>
      <c r="V10" s="56">
        <v>0.9</v>
      </c>
    </row>
    <row r="11" spans="1:22" ht="15.75" thickBot="1" x14ac:dyDescent="0.3">
      <c r="C11" s="102" t="s">
        <v>37</v>
      </c>
      <c r="D11" s="45">
        <v>0.17899999999999999</v>
      </c>
      <c r="E11" s="45">
        <v>0.153</v>
      </c>
      <c r="F11" s="45">
        <v>0.16</v>
      </c>
      <c r="G11" s="45">
        <v>0.17100000000000001</v>
      </c>
      <c r="H11" s="103">
        <v>0.10299999999999999</v>
      </c>
      <c r="I11" s="135"/>
      <c r="J11" s="102" t="s">
        <v>37</v>
      </c>
      <c r="K11" s="45">
        <v>0.28399999999999997</v>
      </c>
      <c r="L11" s="45">
        <v>0.27</v>
      </c>
      <c r="M11" s="45">
        <v>0.28299999999999997</v>
      </c>
      <c r="N11" s="45">
        <v>0.28299999999999997</v>
      </c>
      <c r="O11" s="103">
        <v>0.184</v>
      </c>
      <c r="Q11" s="102" t="s">
        <v>37</v>
      </c>
      <c r="R11" s="45">
        <v>0.59199999999999997</v>
      </c>
      <c r="S11" s="45">
        <v>0.47199999999999998</v>
      </c>
      <c r="T11" s="45">
        <v>0.502</v>
      </c>
      <c r="U11" s="45">
        <v>0.51800000000000002</v>
      </c>
      <c r="V11" s="103">
        <v>0.33100000000000002</v>
      </c>
    </row>
    <row r="12" spans="1:22" ht="15.75" x14ac:dyDescent="0.25">
      <c r="C12" s="106"/>
      <c r="D12" s="223" t="s">
        <v>109</v>
      </c>
      <c r="E12" s="224"/>
      <c r="F12" s="224"/>
      <c r="G12" s="224"/>
      <c r="H12" s="225"/>
      <c r="I12" s="154"/>
      <c r="J12" s="155"/>
      <c r="K12" s="220" t="s">
        <v>110</v>
      </c>
      <c r="L12" s="221"/>
      <c r="M12" s="221"/>
      <c r="N12" s="221"/>
      <c r="O12" s="222"/>
      <c r="P12" s="8"/>
      <c r="Q12" s="155"/>
      <c r="R12" s="226" t="s">
        <v>111</v>
      </c>
      <c r="S12" s="227"/>
      <c r="T12" s="227"/>
      <c r="U12" s="227"/>
      <c r="V12" s="228"/>
    </row>
    <row r="13" spans="1:22" ht="15.75" thickBot="1" x14ac:dyDescent="0.3">
      <c r="C13" s="27"/>
      <c r="D13" s="29" t="s">
        <v>104</v>
      </c>
      <c r="E13" s="29" t="s">
        <v>105</v>
      </c>
      <c r="F13" s="29" t="s">
        <v>106</v>
      </c>
      <c r="G13" s="29" t="s">
        <v>107</v>
      </c>
      <c r="H13" s="30" t="s">
        <v>108</v>
      </c>
      <c r="I13" s="10"/>
      <c r="J13" s="27"/>
      <c r="K13" s="33" t="s">
        <v>104</v>
      </c>
      <c r="L13" s="33" t="s">
        <v>105</v>
      </c>
      <c r="M13" s="33" t="s">
        <v>106</v>
      </c>
      <c r="N13" s="33" t="s">
        <v>107</v>
      </c>
      <c r="O13" s="34" t="s">
        <v>108</v>
      </c>
      <c r="Q13" s="27"/>
      <c r="R13" s="141" t="s">
        <v>104</v>
      </c>
      <c r="S13" s="141" t="s">
        <v>105</v>
      </c>
      <c r="T13" s="141" t="s">
        <v>106</v>
      </c>
      <c r="U13" s="141" t="s">
        <v>107</v>
      </c>
      <c r="V13" s="142" t="s">
        <v>108</v>
      </c>
    </row>
    <row r="14" spans="1:22" x14ac:dyDescent="0.25">
      <c r="C14" s="217" t="s">
        <v>34</v>
      </c>
      <c r="D14" s="42">
        <f>$B$2*$B$3*$F$2</f>
        <v>1.6041666666666663E-9</v>
      </c>
      <c r="E14" s="42">
        <f>$B$2*$B$3*$F$2</f>
        <v>1.6041666666666663E-9</v>
      </c>
      <c r="F14" s="42">
        <f>$B$2*$B$3*$F$2</f>
        <v>1.6041666666666663E-9</v>
      </c>
      <c r="G14" s="42">
        <f>$B$2*$B$3*$F$2</f>
        <v>1.6041666666666663E-9</v>
      </c>
      <c r="H14" s="53">
        <f>$B$2*$B$3*$F$2</f>
        <v>1.6041666666666663E-9</v>
      </c>
      <c r="I14" s="136"/>
      <c r="J14" s="217" t="s">
        <v>34</v>
      </c>
      <c r="K14" s="42">
        <f>$B$2*$B$3*$F$2</f>
        <v>1.6041666666666663E-9</v>
      </c>
      <c r="L14" s="42">
        <f>$B$2*$B$3*$F$2</f>
        <v>1.6041666666666663E-9</v>
      </c>
      <c r="M14" s="42">
        <f>$B$2*$B$3*$F$2</f>
        <v>1.6041666666666663E-9</v>
      </c>
      <c r="N14" s="42">
        <f>$B$2*$B$3*$F$2</f>
        <v>1.6041666666666663E-9</v>
      </c>
      <c r="O14" s="151">
        <f>$B$2*$B$3*$F$2</f>
        <v>1.6041666666666663E-9</v>
      </c>
      <c r="Q14" s="217" t="s">
        <v>34</v>
      </c>
      <c r="R14" s="42">
        <f>$B$2*$B$3*$F$2</f>
        <v>1.6041666666666663E-9</v>
      </c>
      <c r="S14" s="42">
        <f>$B$2*$B$3*$F$2</f>
        <v>1.6041666666666663E-9</v>
      </c>
      <c r="T14" s="42">
        <f>$B$2*$B$3*$F$2</f>
        <v>1.6041666666666663E-9</v>
      </c>
      <c r="U14" s="42">
        <f>$B$2*$B$3*$F$2</f>
        <v>1.6041666666666663E-9</v>
      </c>
      <c r="V14" s="151">
        <f>$B$2*$B$3*$F$2</f>
        <v>1.6041666666666663E-9</v>
      </c>
    </row>
    <row r="15" spans="1:22" x14ac:dyDescent="0.25">
      <c r="C15" s="218"/>
      <c r="D15" s="20">
        <f>$G$2*H$2*$B$4*(1/365)*$B$7*$B$8*(1/24)*$M$2*D$8</f>
        <v>1.0947894610658903E-12</v>
      </c>
      <c r="E15" s="20">
        <f>$G$2*I$2*$B$4*(1/365)*$B$7*$B$8*(1/24)*$M$2*E$8</f>
        <v>4.7774627143745773E-13</v>
      </c>
      <c r="F15" s="20">
        <f>$G$2*J$2*$B$4*(1/365)*$B$7*$B$8*(1/24)*$M$2*F$8</f>
        <v>8.9695446218495019E-13</v>
      </c>
      <c r="G15" s="20">
        <f>$G$2*K$2*$B$4*(1/365)*$B$7*$B$8*(1/24)*$M$2*G$8</f>
        <v>9.822694331230072E-13</v>
      </c>
      <c r="H15" s="56">
        <f>$G$2*L$2*$B$4*(1/365)*$B$7*$B$8*(1/24)*$M$2*H$8</f>
        <v>5.7757865711026661E-13</v>
      </c>
      <c r="I15" s="136"/>
      <c r="J15" s="218"/>
      <c r="K15" s="20">
        <f>$G$2*H$2*$B$4*(1/365)*$B$7*$B$8*(1/24)*$M$2*K$8</f>
        <v>1.9665662541368773E-12</v>
      </c>
      <c r="L15" s="20">
        <f>$G$2*I$2*$B$4*(1/365)*$B$7*$B$8*(1/24)*$M$2*L$8</f>
        <v>8.4337872441919073E-13</v>
      </c>
      <c r="M15" s="20">
        <f>$G$2*J$2*$B$4*(1/365)*$B$7*$B$8*(1/24)*$M$2*M$8</f>
        <v>1.5767515282619651E-12</v>
      </c>
      <c r="N15" s="20">
        <f>$G$2*K$2*$B$4*(1/365)*$B$7*$B$8*(1/24)*$M$2*N$8</f>
        <v>1.6624580705074632E-12</v>
      </c>
      <c r="O15" s="152">
        <f>$G$2*L$2*$B$4*(1/365)*$B$7*$B$8*(1/24)*$M$2*O$8</f>
        <v>1.026502352684123E-12</v>
      </c>
      <c r="Q15" s="218"/>
      <c r="R15" s="20">
        <f>$G$2*H$2*$B$4*(1/365)*$B$7*$B$8*(1/24)*$M$2*R$8</f>
        <v>3.243820625380416E-12</v>
      </c>
      <c r="S15" s="20">
        <f>$G$2*I$2*$B$4*(1/365)*$B$7*$B$8*(1/24)*$M$2*S$8</f>
        <v>1.4999010847455067E-12</v>
      </c>
      <c r="T15" s="20">
        <f>$G$2*J$2*$B$4*(1/365)*$B$7*$B$8*(1/24)*$M$2*T$8</f>
        <v>2.7380715161435318E-12</v>
      </c>
      <c r="U15" s="20">
        <f>$G$2*K$2*$B$4*(1/365)*$B$7*$B$8*(1/24)*$M$2*U$8</f>
        <v>2.8890277444794327E-12</v>
      </c>
      <c r="V15" s="152">
        <f>$G$2*L$2*$B$4*(1/365)*$B$7*$B$8*(1/24)*$M$2*V$8</f>
        <v>1.8545475838493157E-12</v>
      </c>
    </row>
    <row r="16" spans="1:22" ht="15.75" thickBot="1" x14ac:dyDescent="0.3">
      <c r="C16" s="219"/>
      <c r="D16" s="145">
        <f>D14/D15</f>
        <v>1465.2741223000494</v>
      </c>
      <c r="E16" s="145">
        <f t="shared" ref="E16:H16" si="2">E14/E15</f>
        <v>3357.7795632815723</v>
      </c>
      <c r="F16" s="145">
        <f t="shared" si="2"/>
        <v>1788.4594305478693</v>
      </c>
      <c r="G16" s="145">
        <f t="shared" si="2"/>
        <v>1633.1228607678565</v>
      </c>
      <c r="H16" s="146">
        <f t="shared" si="2"/>
        <v>2777.3994882231459</v>
      </c>
      <c r="I16" s="137"/>
      <c r="J16" s="219"/>
      <c r="K16" s="145">
        <f>K14/K15</f>
        <v>815.719614476316</v>
      </c>
      <c r="L16" s="145">
        <f t="shared" ref="L16" si="3">L14/L15</f>
        <v>1902.0715370445314</v>
      </c>
      <c r="M16" s="145">
        <f t="shared" ref="M16" si="4">M14/M15</f>
        <v>1017.3871012098657</v>
      </c>
      <c r="N16" s="145">
        <f t="shared" ref="N16" si="5">N14/N15</f>
        <v>964.93661712442258</v>
      </c>
      <c r="O16" s="153">
        <f t="shared" ref="O16" si="6">O14/O15</f>
        <v>1562.7501120402237</v>
      </c>
      <c r="Q16" s="219"/>
      <c r="R16" s="145">
        <f>R14/R15</f>
        <v>494.53001627626657</v>
      </c>
      <c r="S16" s="145">
        <f t="shared" ref="S16" si="7">S14/S15</f>
        <v>1069.5149720082047</v>
      </c>
      <c r="T16" s="145">
        <f t="shared" ref="T16" si="8">T14/T15</f>
        <v>585.87464104154344</v>
      </c>
      <c r="U16" s="145">
        <f t="shared" ref="U16" si="9">U14/U15</f>
        <v>555.26177266107129</v>
      </c>
      <c r="V16" s="153">
        <f t="shared" ref="V16" si="10">V14/V15</f>
        <v>864.99083692263287</v>
      </c>
    </row>
    <row r="17" spans="3:22" x14ac:dyDescent="0.25">
      <c r="C17" s="217" t="s">
        <v>35</v>
      </c>
      <c r="D17" s="119">
        <f>$B$2*$B$3*$F$3</f>
        <v>1.3149905123339657E-7</v>
      </c>
      <c r="E17" s="42">
        <f>$B$2*$B$3*$F$3</f>
        <v>1.3149905123339657E-7</v>
      </c>
      <c r="F17" s="42">
        <f>$B$2*$B$3*$F$3</f>
        <v>1.3149905123339657E-7</v>
      </c>
      <c r="G17" s="42">
        <f>$B$2*$B$3*$F$3</f>
        <v>1.3149905123339657E-7</v>
      </c>
      <c r="H17" s="53">
        <f>$B$2*$B$3*$F$3</f>
        <v>1.3149905123339657E-7</v>
      </c>
      <c r="I17" s="136"/>
      <c r="J17" s="217" t="s">
        <v>35</v>
      </c>
      <c r="K17" s="119">
        <f>$B$2*$B$3*$F$3</f>
        <v>1.3149905123339657E-7</v>
      </c>
      <c r="L17" s="42">
        <f>$B$2*$B$3*$F$3</f>
        <v>1.3149905123339657E-7</v>
      </c>
      <c r="M17" s="42">
        <f>$B$2*$B$3*$F$3</f>
        <v>1.3149905123339657E-7</v>
      </c>
      <c r="N17" s="42">
        <f>$B$2*$B$3*$F$3</f>
        <v>1.3149905123339657E-7</v>
      </c>
      <c r="O17" s="53">
        <f>$B$2*$B$3*$F$3</f>
        <v>1.3149905123339657E-7</v>
      </c>
      <c r="Q17" s="217" t="s">
        <v>35</v>
      </c>
      <c r="R17" s="119">
        <f>$B$2*$B$3*$F$3</f>
        <v>1.3149905123339657E-7</v>
      </c>
      <c r="S17" s="42">
        <f>$B$2*$B$3*$F$3</f>
        <v>1.3149905123339657E-7</v>
      </c>
      <c r="T17" s="42">
        <f>$B$2*$B$3*$F$3</f>
        <v>1.3149905123339657E-7</v>
      </c>
      <c r="U17" s="42">
        <f>$B$2*$B$3*$F$3</f>
        <v>1.3149905123339657E-7</v>
      </c>
      <c r="V17" s="53">
        <f>$B$2*$B$3*$F$3</f>
        <v>1.3149905123339657E-7</v>
      </c>
    </row>
    <row r="18" spans="3:22" x14ac:dyDescent="0.25">
      <c r="C18" s="218"/>
      <c r="D18" s="123">
        <f>$G$3*H$3*$B$4*(1/365)*$B$7*$B$8*(1/24)*$M$3*D$9</f>
        <v>3.4291139721258369E-8</v>
      </c>
      <c r="E18" s="20">
        <f>$G$3*I$3*$B$4*(1/365)*$B$7*$B$8*(1/24)*$M$3*E$9</f>
        <v>2.7084745248284312E-9</v>
      </c>
      <c r="F18" s="20">
        <f>$G$3*J$3*$B$4*(1/365)*$B$7*$B$8*(1/24)*$M$3*F$9</f>
        <v>1.1958940734263388E-8</v>
      </c>
      <c r="G18" s="20">
        <f>$G$3*K$3*$B$4*(1/365)*$B$7*$B$8*(1/24)*$M$3*G$9</f>
        <v>2.4839780074395611E-8</v>
      </c>
      <c r="H18" s="56">
        <f>$G$3*L$3*$B$4*(1/365)*$B$7*$B$8*(1/24)*$M$3*H$9</f>
        <v>1.7435614859912304E-9</v>
      </c>
      <c r="I18" s="136"/>
      <c r="J18" s="218"/>
      <c r="K18" s="123">
        <f>$G$3*H$3*$B$4*(1/365)*$B$7*$B$8*(1/24)*$M$3*K$9</f>
        <v>6.1744982000638162E-8</v>
      </c>
      <c r="L18" s="20">
        <f>$G$3*I$3*$B$4*(1/365)*$B$7*$B$8*(1/24)*$M$3*L$9</f>
        <v>5.0736212929884694E-9</v>
      </c>
      <c r="M18" s="20">
        <f>$G$3*J$3*$B$4*(1/365)*$B$7*$B$8*(1/24)*$M$3*M$9</f>
        <v>2.2274668237864632E-8</v>
      </c>
      <c r="N18" s="20">
        <f>$G$3*K$3*$B$4*(1/365)*$B$7*$B$8*(1/24)*$M$3*N$9</f>
        <v>4.6519729467949379E-8</v>
      </c>
      <c r="O18" s="56">
        <f>$G$3*L$3*$B$4*(1/365)*$B$7*$B$8*(1/24)*$M$3*O$9</f>
        <v>3.2098782127259048E-9</v>
      </c>
      <c r="Q18" s="218"/>
      <c r="R18" s="123">
        <f>$G$3*H$3*$B$4*(1/365)*$B$7*$B$8*(1/24)*$M$3*R$9</f>
        <v>1.1616428817069215E-7</v>
      </c>
      <c r="S18" s="20">
        <f>$G$3*I$3*$B$4*(1/365)*$B$7*$B$8*(1/24)*$M$3*S$9</f>
        <v>9.4097237012818727E-9</v>
      </c>
      <c r="T18" s="20">
        <f>$G$3*J$3*$B$4*(1/365)*$B$7*$B$8*(1/24)*$M$3*T$9</f>
        <v>4.0532593022999574E-8</v>
      </c>
      <c r="U18" s="20">
        <f>$G$3*K$3*$B$4*(1/365)*$B$7*$B$8*(1/24)*$M$3*U$9</f>
        <v>8.4262151489115849E-8</v>
      </c>
      <c r="V18" s="56">
        <f>$G$3*L$3*$B$4*(1/365)*$B$7*$B$8*(1/24)*$M$3*V$9</f>
        <v>6.0747407250436506E-9</v>
      </c>
    </row>
    <row r="19" spans="3:22" ht="15.75" thickBot="1" x14ac:dyDescent="0.3">
      <c r="C19" s="219"/>
      <c r="D19" s="88">
        <f>D17/D18</f>
        <v>3.8347821712054486</v>
      </c>
      <c r="E19" s="145">
        <f t="shared" ref="E19" si="11">E17/E18</f>
        <v>48.550964769264873</v>
      </c>
      <c r="F19" s="145">
        <f t="shared" ref="F19" si="12">F17/F18</f>
        <v>10.995877825252578</v>
      </c>
      <c r="G19" s="145">
        <f t="shared" ref="G19" si="13">G17/G18</f>
        <v>5.2938895126911119</v>
      </c>
      <c r="H19" s="146">
        <f t="shared" ref="H19" si="14">H17/H18</f>
        <v>75.419795797243239</v>
      </c>
      <c r="I19" s="137"/>
      <c r="J19" s="219"/>
      <c r="K19" s="88">
        <f>K17/K18</f>
        <v>2.1297123583587321</v>
      </c>
      <c r="L19" s="145">
        <f t="shared" ref="L19" si="15">L17/L18</f>
        <v>25.918184200133879</v>
      </c>
      <c r="M19" s="145">
        <f t="shared" ref="M19" si="16">M17/M18</f>
        <v>5.9035245701151133</v>
      </c>
      <c r="N19" s="145">
        <f t="shared" ref="N19" si="17">N17/N18</f>
        <v>2.8267372303614806</v>
      </c>
      <c r="O19" s="146">
        <f t="shared" ref="O19" si="18">O17/O18</f>
        <v>40.96699080733174</v>
      </c>
      <c r="Q19" s="219"/>
      <c r="R19" s="88">
        <f>R17/R18</f>
        <v>1.1320092715600467</v>
      </c>
      <c r="S19" s="145">
        <f t="shared" ref="S19" si="19">S17/S18</f>
        <v>13.974804724126241</v>
      </c>
      <c r="T19" s="145">
        <f t="shared" ref="T19" si="20">T17/T18</f>
        <v>3.244279268261459</v>
      </c>
      <c r="U19" s="145">
        <f t="shared" ref="U19" si="21">U17/U18</f>
        <v>1.5605945125954008</v>
      </c>
      <c r="V19" s="146">
        <f t="shared" ref="V19" si="22">V17/V18</f>
        <v>21.646858225780768</v>
      </c>
    </row>
    <row r="20" spans="3:22" x14ac:dyDescent="0.25">
      <c r="C20" s="217" t="s">
        <v>36</v>
      </c>
      <c r="D20" s="57"/>
      <c r="E20" s="57"/>
      <c r="F20" s="57"/>
      <c r="G20" s="57"/>
      <c r="H20" s="147"/>
      <c r="I20" s="136"/>
      <c r="J20" s="217" t="s">
        <v>36</v>
      </c>
      <c r="K20" s="57"/>
      <c r="L20" s="57"/>
      <c r="M20" s="57"/>
      <c r="N20" s="57"/>
      <c r="O20" s="147"/>
      <c r="Q20" s="217" t="s">
        <v>36</v>
      </c>
      <c r="R20" s="57"/>
      <c r="S20" s="57"/>
      <c r="T20" s="57"/>
      <c r="U20" s="57"/>
      <c r="V20" s="147"/>
    </row>
    <row r="21" spans="3:22" x14ac:dyDescent="0.25">
      <c r="C21" s="218"/>
      <c r="D21" s="58"/>
      <c r="E21" s="58"/>
      <c r="F21" s="58"/>
      <c r="G21" s="58"/>
      <c r="H21" s="148"/>
      <c r="I21" s="136"/>
      <c r="J21" s="218"/>
      <c r="K21" s="58"/>
      <c r="L21" s="58"/>
      <c r="M21" s="58"/>
      <c r="N21" s="58"/>
      <c r="O21" s="148"/>
      <c r="Q21" s="218"/>
      <c r="R21" s="58"/>
      <c r="S21" s="58"/>
      <c r="T21" s="58"/>
      <c r="U21" s="58"/>
      <c r="V21" s="148"/>
    </row>
    <row r="22" spans="3:22" ht="15.75" thickBot="1" x14ac:dyDescent="0.3">
      <c r="C22" s="219"/>
      <c r="D22" s="149"/>
      <c r="E22" s="149"/>
      <c r="F22" s="149"/>
      <c r="G22" s="149"/>
      <c r="H22" s="150"/>
      <c r="I22" s="137"/>
      <c r="J22" s="219"/>
      <c r="K22" s="149"/>
      <c r="L22" s="149"/>
      <c r="M22" s="149"/>
      <c r="N22" s="149"/>
      <c r="O22" s="150"/>
      <c r="Q22" s="219"/>
      <c r="R22" s="149"/>
      <c r="S22" s="149"/>
      <c r="T22" s="149"/>
      <c r="U22" s="149"/>
      <c r="V22" s="150"/>
    </row>
    <row r="23" spans="3:22" x14ac:dyDescent="0.25">
      <c r="C23" s="217" t="s">
        <v>37</v>
      </c>
      <c r="D23" s="42">
        <f>$B$2*$B$3*$F$5</f>
        <v>7.9019384264538188E-9</v>
      </c>
      <c r="E23" s="42">
        <f>$B$2*$B$3*$F$5</f>
        <v>7.9019384264538188E-9</v>
      </c>
      <c r="F23" s="42">
        <f>$B$2*$B$3*$F$5</f>
        <v>7.9019384264538188E-9</v>
      </c>
      <c r="G23" s="42">
        <f>$B$2*$B$3*$F$5</f>
        <v>7.9019384264538188E-9</v>
      </c>
      <c r="H23" s="53">
        <f>$B$2*$B$3*$F$5</f>
        <v>7.9019384264538188E-9</v>
      </c>
      <c r="I23" s="136"/>
      <c r="J23" s="217" t="s">
        <v>37</v>
      </c>
      <c r="K23" s="42">
        <f>$B$2*$B$3*$F$5</f>
        <v>7.9019384264538188E-9</v>
      </c>
      <c r="L23" s="42">
        <f>$B$2*$B$3*$F$5</f>
        <v>7.9019384264538188E-9</v>
      </c>
      <c r="M23" s="42">
        <f>$B$2*$B$3*$F$5</f>
        <v>7.9019384264538188E-9</v>
      </c>
      <c r="N23" s="42">
        <f>$B$2*$B$3*$F$5</f>
        <v>7.9019384264538188E-9</v>
      </c>
      <c r="O23" s="53">
        <f>$B$2*$B$3*$F$5</f>
        <v>7.9019384264538188E-9</v>
      </c>
      <c r="Q23" s="217" t="s">
        <v>37</v>
      </c>
      <c r="R23" s="42">
        <f>$B$2*$B$3*$F$5</f>
        <v>7.9019384264538188E-9</v>
      </c>
      <c r="S23" s="42">
        <f>$B$2*$B$3*$F$5</f>
        <v>7.9019384264538188E-9</v>
      </c>
      <c r="T23" s="42">
        <f>$B$2*$B$3*$F$5</f>
        <v>7.9019384264538188E-9</v>
      </c>
      <c r="U23" s="42">
        <f>$B$2*$B$3*$F$5</f>
        <v>7.9019384264538188E-9</v>
      </c>
      <c r="V23" s="53">
        <f>$B$2*$B$3*$F$5</f>
        <v>7.9019384264538188E-9</v>
      </c>
    </row>
    <row r="24" spans="3:22" x14ac:dyDescent="0.25">
      <c r="C24" s="218"/>
      <c r="D24" s="20">
        <f>$G$5*H$5*$B$4*(1/365)*$B$7*$B$8*(1/24)*$M$5*D$11</f>
        <v>2.2258910433871742E-14</v>
      </c>
      <c r="E24" s="20">
        <f>$G$5*I$5*$B$4*(1/365)*$B$7*$B$8*(1/24)*$M$5*E$11</f>
        <v>1.3224561594277158E-14</v>
      </c>
      <c r="F24" s="20">
        <f>$G$5*J$5*$B$4*(1/365)*$B$7*$B$8*(1/24)*$M$5*F$11</f>
        <v>1.811362233776497E-14</v>
      </c>
      <c r="G24" s="20">
        <f>$G$5*K$5*$B$4*(1/365)*$B$7*$B$8*(1/24)*$M$5*G$11</f>
        <v>2.1110456462039841E-14</v>
      </c>
      <c r="H24" s="56">
        <f>$G$5*L$5*$B$4*(1/365)*$B$7*$B$8*(1/24)*$M$5*H$11</f>
        <v>6.8112970346294004E-14</v>
      </c>
      <c r="I24" s="136"/>
      <c r="J24" s="218"/>
      <c r="K24" s="20">
        <f>$G$5*H$5*$B$4*(1/365)*$B$7*$B$8*(1/24)*$M$5*K$11</f>
        <v>3.5315813202343987E-14</v>
      </c>
      <c r="L24" s="20">
        <f>$G$5*I$5*$B$4*(1/365)*$B$7*$B$8*(1/24)*$M$5*L$11</f>
        <v>2.3337461636959693E-14</v>
      </c>
      <c r="M24" s="20">
        <f>$G$5*J$5*$B$4*(1/365)*$B$7*$B$8*(1/24)*$M$5*M$11</f>
        <v>3.203846950992179E-14</v>
      </c>
      <c r="N24" s="20">
        <f>$G$5*K$5*$B$4*(1/365)*$B$7*$B$8*(1/24)*$M$5*N$11</f>
        <v>3.4937188179867098E-14</v>
      </c>
      <c r="O24" s="56">
        <f>$G$5*L$5*$B$4*(1/365)*$B$7*$B$8*(1/24)*$M$5*O$11</f>
        <v>1.2167753925939899E-13</v>
      </c>
      <c r="Q24" s="218"/>
      <c r="R24" s="20">
        <f>$G$5*H$5*$B$4*(1/365)*$B$7*$B$8*(1/24)*$M$5*R$11</f>
        <v>7.3616061323195924E-14</v>
      </c>
      <c r="S24" s="20">
        <f>$G$5*I$5*$B$4*(1/365)*$B$7*$B$8*(1/24)*$M$5*S$11</f>
        <v>4.0797340343129528E-14</v>
      </c>
      <c r="T24" s="20">
        <f>$G$5*J$5*$B$4*(1/365)*$B$7*$B$8*(1/24)*$M$5*T$11</f>
        <v>5.6831490084737595E-14</v>
      </c>
      <c r="U24" s="20">
        <f>$G$5*K$5*$B$4*(1/365)*$B$7*$B$8*(1/24)*$M$5*U$11</f>
        <v>6.3948634194951096E-14</v>
      </c>
      <c r="V24" s="20">
        <f>$G$5*L$5*$B$4*(1/365)*$B$7*$B$8*(1/24)*$M$5*V$11</f>
        <v>2.1888731247207102E-13</v>
      </c>
    </row>
    <row r="25" spans="3:22" ht="15.75" thickBot="1" x14ac:dyDescent="0.3">
      <c r="C25" s="219"/>
      <c r="D25" s="145">
        <f>D23/D24</f>
        <v>355001.13313854358</v>
      </c>
      <c r="E25" s="145">
        <f t="shared" ref="E25" si="23">E23/E24</f>
        <v>597519.87770039425</v>
      </c>
      <c r="F25" s="145">
        <f t="shared" ref="F25" si="24">F23/F24</f>
        <v>436242.86071036826</v>
      </c>
      <c r="G25" s="145">
        <f t="shared" ref="G25" si="25">G23/G24</f>
        <v>374313.95387697261</v>
      </c>
      <c r="H25" s="146">
        <f t="shared" ref="H25" si="26">H23/H24</f>
        <v>116012.24240081551</v>
      </c>
      <c r="I25" s="137"/>
      <c r="J25" s="219"/>
      <c r="K25" s="145">
        <f>K23/K24</f>
        <v>223750.71419647645</v>
      </c>
      <c r="L25" s="145">
        <f t="shared" ref="L25" si="27">L23/L24</f>
        <v>338594.59736355674</v>
      </c>
      <c r="M25" s="145">
        <f t="shared" ref="M25" si="28">M23/M24</f>
        <v>246639.07319314106</v>
      </c>
      <c r="N25" s="145">
        <f t="shared" ref="N25" si="29">N23/N24</f>
        <v>226175.56930375379</v>
      </c>
      <c r="O25" s="146">
        <f t="shared" ref="O25" si="30">O23/O24</f>
        <v>64941.635691760865</v>
      </c>
      <c r="Q25" s="219"/>
      <c r="R25" s="145">
        <f>R23/R24</f>
        <v>107339.86964830963</v>
      </c>
      <c r="S25" s="145">
        <f t="shared" ref="S25" si="31">S23/S24</f>
        <v>193687.58747491598</v>
      </c>
      <c r="T25" s="145">
        <f t="shared" ref="T25" si="32">T23/T24</f>
        <v>139041.54923039625</v>
      </c>
      <c r="U25" s="145">
        <f t="shared" ref="U25" si="33">U23/U24</f>
        <v>123566.96160803536</v>
      </c>
      <c r="V25" s="146">
        <f t="shared" ref="V25" si="34">V23/V24</f>
        <v>36100.486305993953</v>
      </c>
    </row>
    <row r="26" spans="3:22" ht="15.75" thickBot="1" x14ac:dyDescent="0.3">
      <c r="C26" s="156"/>
      <c r="D26" s="114"/>
      <c r="E26" s="115" t="s">
        <v>31</v>
      </c>
      <c r="F26" s="115" t="s">
        <v>32</v>
      </c>
      <c r="G26" s="116" t="s">
        <v>33</v>
      </c>
      <c r="I26" s="134"/>
      <c r="J26" s="156"/>
      <c r="K26" s="114"/>
      <c r="L26" s="132" t="s">
        <v>31</v>
      </c>
      <c r="M26" s="132" t="s">
        <v>32</v>
      </c>
      <c r="N26" s="133" t="s">
        <v>33</v>
      </c>
      <c r="Q26" s="156"/>
      <c r="R26" s="114"/>
      <c r="S26" s="143" t="s">
        <v>31</v>
      </c>
      <c r="T26" s="143" t="s">
        <v>32</v>
      </c>
      <c r="U26" s="144" t="s">
        <v>33</v>
      </c>
    </row>
    <row r="27" spans="3:22" ht="14.25" customHeight="1" x14ac:dyDescent="0.25">
      <c r="C27" s="199" t="s">
        <v>34</v>
      </c>
      <c r="D27" s="117" t="s">
        <v>104</v>
      </c>
      <c r="E27" s="42">
        <v>1470</v>
      </c>
      <c r="F27" s="42">
        <v>1470</v>
      </c>
      <c r="G27" s="59">
        <f>(E27-F27)/((1/2)*(E27+F27))</f>
        <v>0</v>
      </c>
      <c r="J27" s="199" t="s">
        <v>34</v>
      </c>
      <c r="K27" s="117" t="s">
        <v>104</v>
      </c>
      <c r="L27" s="42">
        <v>816</v>
      </c>
      <c r="M27" s="42">
        <v>816</v>
      </c>
      <c r="N27" s="59">
        <f>(L27-M27)/((1/2)*(L27+M27))</f>
        <v>0</v>
      </c>
      <c r="Q27" s="199" t="s">
        <v>34</v>
      </c>
      <c r="R27" s="117" t="s">
        <v>104</v>
      </c>
      <c r="S27" s="42">
        <v>495</v>
      </c>
      <c r="T27" s="42">
        <v>496</v>
      </c>
      <c r="U27" s="59">
        <f>(S27-T27)/((1/2)*(S27+T27))</f>
        <v>-2.0181634712411706E-3</v>
      </c>
    </row>
    <row r="28" spans="3:22" x14ac:dyDescent="0.25">
      <c r="C28" s="200"/>
      <c r="D28" s="9" t="s">
        <v>105</v>
      </c>
      <c r="E28" s="20">
        <v>3360</v>
      </c>
      <c r="F28" s="20">
        <v>3370</v>
      </c>
      <c r="G28" s="60">
        <f t="shared" ref="G28:G46" si="35">(E28-F28)/((1/2)*(E28+F28))</f>
        <v>-2.9717682020802376E-3</v>
      </c>
      <c r="J28" s="200"/>
      <c r="K28" s="9" t="s">
        <v>105</v>
      </c>
      <c r="L28" s="20">
        <v>1900</v>
      </c>
      <c r="M28" s="20">
        <v>1910</v>
      </c>
      <c r="N28" s="60">
        <f t="shared" ref="N28:N36" si="36">(L28-M28)/((1/2)*(L28+M28))</f>
        <v>-5.2493438320209973E-3</v>
      </c>
      <c r="Q28" s="200"/>
      <c r="R28" s="9" t="s">
        <v>105</v>
      </c>
      <c r="S28" s="20">
        <v>1070</v>
      </c>
      <c r="T28" s="20">
        <v>1070</v>
      </c>
      <c r="U28" s="60">
        <f t="shared" ref="U28:U36" si="37">(S28-T28)/((1/2)*(S28+T28))</f>
        <v>0</v>
      </c>
    </row>
    <row r="29" spans="3:22" x14ac:dyDescent="0.25">
      <c r="C29" s="200"/>
      <c r="D29" s="9" t="s">
        <v>106</v>
      </c>
      <c r="E29" s="20">
        <v>1790</v>
      </c>
      <c r="F29" s="20">
        <v>1790</v>
      </c>
      <c r="G29" s="60">
        <f t="shared" si="35"/>
        <v>0</v>
      </c>
      <c r="J29" s="200"/>
      <c r="K29" s="9" t="s">
        <v>106</v>
      </c>
      <c r="L29" s="20">
        <v>1020</v>
      </c>
      <c r="M29" s="20">
        <v>1020</v>
      </c>
      <c r="N29" s="60">
        <f t="shared" si="36"/>
        <v>0</v>
      </c>
      <c r="Q29" s="200"/>
      <c r="R29" s="9" t="s">
        <v>106</v>
      </c>
      <c r="S29" s="20">
        <v>586</v>
      </c>
      <c r="T29" s="20">
        <v>587</v>
      </c>
      <c r="U29" s="60">
        <f t="shared" si="37"/>
        <v>-1.7050298380221654E-3</v>
      </c>
    </row>
    <row r="30" spans="3:22" x14ac:dyDescent="0.25">
      <c r="C30" s="200"/>
      <c r="D30" s="9" t="s">
        <v>107</v>
      </c>
      <c r="E30" s="20">
        <v>1630</v>
      </c>
      <c r="F30" s="20">
        <v>1630</v>
      </c>
      <c r="G30" s="60">
        <f t="shared" si="35"/>
        <v>0</v>
      </c>
      <c r="J30" s="200"/>
      <c r="K30" s="9" t="s">
        <v>107</v>
      </c>
      <c r="L30" s="20">
        <v>965</v>
      </c>
      <c r="M30" s="20">
        <v>966</v>
      </c>
      <c r="N30" s="60">
        <f t="shared" si="36"/>
        <v>-1.0357327809425167E-3</v>
      </c>
      <c r="Q30" s="200"/>
      <c r="R30" s="9" t="s">
        <v>107</v>
      </c>
      <c r="S30" s="20">
        <v>555</v>
      </c>
      <c r="T30" s="20">
        <v>556</v>
      </c>
      <c r="U30" s="60">
        <f t="shared" si="37"/>
        <v>-1.8001800180018001E-3</v>
      </c>
    </row>
    <row r="31" spans="3:22" ht="15.75" thickBot="1" x14ac:dyDescent="0.3">
      <c r="C31" s="201"/>
      <c r="D31" s="118" t="s">
        <v>108</v>
      </c>
      <c r="E31" s="45">
        <v>2780</v>
      </c>
      <c r="F31" s="45">
        <v>2780</v>
      </c>
      <c r="G31" s="61">
        <f t="shared" si="35"/>
        <v>0</v>
      </c>
      <c r="J31" s="201"/>
      <c r="K31" s="138" t="s">
        <v>108</v>
      </c>
      <c r="L31" s="124">
        <v>1560</v>
      </c>
      <c r="M31" s="124">
        <v>1560</v>
      </c>
      <c r="N31" s="125">
        <f t="shared" si="36"/>
        <v>0</v>
      </c>
      <c r="Q31" s="201"/>
      <c r="R31" s="138" t="s">
        <v>108</v>
      </c>
      <c r="S31" s="124">
        <v>865</v>
      </c>
      <c r="T31" s="124">
        <v>866</v>
      </c>
      <c r="U31" s="125">
        <f t="shared" si="37"/>
        <v>-1.1554015020219526E-3</v>
      </c>
    </row>
    <row r="32" spans="3:22" x14ac:dyDescent="0.25">
      <c r="C32" s="199" t="s">
        <v>35</v>
      </c>
      <c r="D32" s="129" t="s">
        <v>104</v>
      </c>
      <c r="E32" s="119">
        <v>3.83</v>
      </c>
      <c r="F32" s="119">
        <v>3.84</v>
      </c>
      <c r="G32" s="120">
        <f t="shared" si="35"/>
        <v>-2.6075619295957723E-3</v>
      </c>
      <c r="J32" s="199" t="s">
        <v>35</v>
      </c>
      <c r="K32" s="129" t="s">
        <v>104</v>
      </c>
      <c r="L32" s="119">
        <v>2.13</v>
      </c>
      <c r="M32" s="119">
        <v>2.13</v>
      </c>
      <c r="N32" s="120">
        <f t="shared" si="36"/>
        <v>0</v>
      </c>
      <c r="Q32" s="199" t="s">
        <v>35</v>
      </c>
      <c r="R32" s="129" t="s">
        <v>104</v>
      </c>
      <c r="S32" s="119">
        <v>1.1299999999999999</v>
      </c>
      <c r="T32" s="119">
        <v>1.1299999999999999</v>
      </c>
      <c r="U32" s="120">
        <f t="shared" si="37"/>
        <v>0</v>
      </c>
    </row>
    <row r="33" spans="3:21" ht="14.25" customHeight="1" x14ac:dyDescent="0.25">
      <c r="C33" s="200"/>
      <c r="D33" s="9" t="s">
        <v>105</v>
      </c>
      <c r="E33" s="20">
        <v>48.6</v>
      </c>
      <c r="F33" s="20">
        <v>48.5</v>
      </c>
      <c r="G33" s="60">
        <f t="shared" si="35"/>
        <v>2.0597322348095042E-3</v>
      </c>
      <c r="J33" s="200"/>
      <c r="K33" s="9" t="s">
        <v>105</v>
      </c>
      <c r="L33" s="20">
        <v>25.9</v>
      </c>
      <c r="M33" s="20">
        <v>25.9</v>
      </c>
      <c r="N33" s="60">
        <f t="shared" si="36"/>
        <v>0</v>
      </c>
      <c r="Q33" s="200"/>
      <c r="R33" s="9" t="s">
        <v>105</v>
      </c>
      <c r="S33" s="20">
        <v>14</v>
      </c>
      <c r="T33" s="20">
        <v>14</v>
      </c>
      <c r="U33" s="60">
        <f t="shared" si="37"/>
        <v>0</v>
      </c>
    </row>
    <row r="34" spans="3:21" x14ac:dyDescent="0.25">
      <c r="C34" s="200"/>
      <c r="D34" s="9" t="s">
        <v>106</v>
      </c>
      <c r="E34" s="20">
        <v>11</v>
      </c>
      <c r="F34" s="20">
        <v>11</v>
      </c>
      <c r="G34" s="60">
        <f t="shared" si="35"/>
        <v>0</v>
      </c>
      <c r="J34" s="200"/>
      <c r="K34" s="9" t="s">
        <v>106</v>
      </c>
      <c r="L34" s="20">
        <v>5.9</v>
      </c>
      <c r="M34" s="20">
        <v>5.92</v>
      </c>
      <c r="N34" s="60">
        <f t="shared" si="36"/>
        <v>-3.3840947546530582E-3</v>
      </c>
      <c r="Q34" s="200"/>
      <c r="R34" s="9" t="s">
        <v>106</v>
      </c>
      <c r="S34" s="20">
        <v>3.24</v>
      </c>
      <c r="T34" s="20">
        <v>3.25</v>
      </c>
      <c r="U34" s="60">
        <f t="shared" si="37"/>
        <v>-3.0816640986131853E-3</v>
      </c>
    </row>
    <row r="35" spans="3:21" x14ac:dyDescent="0.25">
      <c r="C35" s="200"/>
      <c r="D35" s="9" t="s">
        <v>107</v>
      </c>
      <c r="E35" s="20">
        <v>5.29</v>
      </c>
      <c r="F35" s="20">
        <v>5.29</v>
      </c>
      <c r="G35" s="60">
        <f t="shared" si="35"/>
        <v>0</v>
      </c>
      <c r="J35" s="200"/>
      <c r="K35" s="9" t="s">
        <v>107</v>
      </c>
      <c r="L35" s="20">
        <v>2.83</v>
      </c>
      <c r="M35" s="20">
        <v>2.83</v>
      </c>
      <c r="N35" s="60">
        <f t="shared" si="36"/>
        <v>0</v>
      </c>
      <c r="Q35" s="200"/>
      <c r="R35" s="9" t="s">
        <v>107</v>
      </c>
      <c r="S35" s="20">
        <v>1.56</v>
      </c>
      <c r="T35" s="20">
        <v>1.56</v>
      </c>
      <c r="U35" s="60">
        <f t="shared" si="37"/>
        <v>0</v>
      </c>
    </row>
    <row r="36" spans="3:21" ht="15.75" thickBot="1" x14ac:dyDescent="0.3">
      <c r="C36" s="201"/>
      <c r="D36" s="118" t="s">
        <v>108</v>
      </c>
      <c r="E36" s="45">
        <v>75.400000000000006</v>
      </c>
      <c r="F36" s="45">
        <v>75.599999999999994</v>
      </c>
      <c r="G36" s="61">
        <f t="shared" si="35"/>
        <v>-2.6490066225164058E-3</v>
      </c>
      <c r="J36" s="201"/>
      <c r="K36" s="118" t="s">
        <v>108</v>
      </c>
      <c r="L36" s="45">
        <v>41</v>
      </c>
      <c r="M36" s="45">
        <v>41.1</v>
      </c>
      <c r="N36" s="61">
        <f t="shared" si="36"/>
        <v>-2.4360535931790849E-3</v>
      </c>
      <c r="Q36" s="201"/>
      <c r="R36" s="118" t="s">
        <v>108</v>
      </c>
      <c r="S36" s="45">
        <v>21.6</v>
      </c>
      <c r="T36" s="45">
        <v>21.7</v>
      </c>
      <c r="U36" s="61">
        <f t="shared" si="37"/>
        <v>-4.6189376443417033E-3</v>
      </c>
    </row>
    <row r="37" spans="3:21" x14ac:dyDescent="0.25">
      <c r="C37" s="199" t="s">
        <v>36</v>
      </c>
      <c r="D37" s="117" t="s">
        <v>104</v>
      </c>
      <c r="E37" s="126"/>
      <c r="F37" s="126"/>
      <c r="G37" s="127"/>
      <c r="J37" s="199" t="s">
        <v>36</v>
      </c>
      <c r="K37" s="117" t="s">
        <v>104</v>
      </c>
      <c r="L37" s="126"/>
      <c r="M37" s="126"/>
      <c r="N37" s="127"/>
      <c r="Q37" s="199" t="s">
        <v>36</v>
      </c>
      <c r="R37" s="117" t="s">
        <v>104</v>
      </c>
      <c r="S37" s="126"/>
      <c r="T37" s="126"/>
      <c r="U37" s="127"/>
    </row>
    <row r="38" spans="3:21" x14ac:dyDescent="0.25">
      <c r="C38" s="200"/>
      <c r="D38" s="9" t="s">
        <v>105</v>
      </c>
      <c r="E38" s="121"/>
      <c r="F38" s="121"/>
      <c r="G38" s="122"/>
      <c r="J38" s="200"/>
      <c r="K38" s="9" t="s">
        <v>105</v>
      </c>
      <c r="L38" s="121"/>
      <c r="M38" s="121"/>
      <c r="N38" s="122"/>
      <c r="Q38" s="200"/>
      <c r="R38" s="9" t="s">
        <v>105</v>
      </c>
      <c r="S38" s="121"/>
      <c r="T38" s="121"/>
      <c r="U38" s="122"/>
    </row>
    <row r="39" spans="3:21" ht="14.25" customHeight="1" x14ac:dyDescent="0.25">
      <c r="C39" s="200"/>
      <c r="D39" s="9" t="s">
        <v>106</v>
      </c>
      <c r="E39" s="121"/>
      <c r="F39" s="121"/>
      <c r="G39" s="122"/>
      <c r="J39" s="200"/>
      <c r="K39" s="9" t="s">
        <v>106</v>
      </c>
      <c r="L39" s="121"/>
      <c r="M39" s="121"/>
      <c r="N39" s="122"/>
      <c r="Q39" s="200"/>
      <c r="R39" s="9" t="s">
        <v>106</v>
      </c>
      <c r="S39" s="121"/>
      <c r="T39" s="121"/>
      <c r="U39" s="122"/>
    </row>
    <row r="40" spans="3:21" x14ac:dyDescent="0.25">
      <c r="C40" s="200"/>
      <c r="D40" s="9" t="s">
        <v>107</v>
      </c>
      <c r="E40" s="121"/>
      <c r="F40" s="121"/>
      <c r="G40" s="122"/>
      <c r="J40" s="200"/>
      <c r="K40" s="9" t="s">
        <v>107</v>
      </c>
      <c r="L40" s="121"/>
      <c r="M40" s="121"/>
      <c r="N40" s="122"/>
      <c r="Q40" s="200"/>
      <c r="R40" s="9" t="s">
        <v>107</v>
      </c>
      <c r="S40" s="121"/>
      <c r="T40" s="121"/>
      <c r="U40" s="122"/>
    </row>
    <row r="41" spans="3:21" ht="15.75" thickBot="1" x14ac:dyDescent="0.3">
      <c r="C41" s="201"/>
      <c r="D41" s="118" t="s">
        <v>108</v>
      </c>
      <c r="E41" s="86"/>
      <c r="F41" s="86"/>
      <c r="G41" s="128"/>
      <c r="J41" s="201"/>
      <c r="K41" s="118" t="s">
        <v>108</v>
      </c>
      <c r="L41" s="86"/>
      <c r="M41" s="86"/>
      <c r="N41" s="128"/>
      <c r="Q41" s="201"/>
      <c r="R41" s="118" t="s">
        <v>108</v>
      </c>
      <c r="S41" s="86"/>
      <c r="T41" s="86"/>
      <c r="U41" s="128"/>
    </row>
    <row r="42" spans="3:21" x14ac:dyDescent="0.25">
      <c r="C42" s="199" t="s">
        <v>37</v>
      </c>
      <c r="D42" s="117" t="s">
        <v>104</v>
      </c>
      <c r="E42" s="42">
        <v>355000</v>
      </c>
      <c r="F42" s="42">
        <v>356000</v>
      </c>
      <c r="G42" s="59">
        <f t="shared" si="35"/>
        <v>-2.8129395218002813E-3</v>
      </c>
      <c r="J42" s="199" t="s">
        <v>37</v>
      </c>
      <c r="K42" s="117" t="s">
        <v>104</v>
      </c>
      <c r="L42" s="42">
        <v>224000</v>
      </c>
      <c r="M42" s="42">
        <v>224000</v>
      </c>
      <c r="N42" s="59">
        <f t="shared" ref="N42:N46" si="38">(L42-M42)/((1/2)*(L42+M42))</f>
        <v>0</v>
      </c>
      <c r="Q42" s="199" t="s">
        <v>37</v>
      </c>
      <c r="R42" s="117" t="s">
        <v>104</v>
      </c>
      <c r="S42" s="42">
        <v>107000</v>
      </c>
      <c r="T42" s="42">
        <v>107000</v>
      </c>
      <c r="U42" s="59">
        <f t="shared" ref="U42:U46" si="39">(S42-T42)/((1/2)*(S42+T42))</f>
        <v>0</v>
      </c>
    </row>
    <row r="43" spans="3:21" x14ac:dyDescent="0.25">
      <c r="C43" s="200"/>
      <c r="D43" s="9" t="s">
        <v>105</v>
      </c>
      <c r="E43" s="20">
        <v>598000</v>
      </c>
      <c r="F43" s="20">
        <v>597000</v>
      </c>
      <c r="G43" s="60">
        <f t="shared" si="35"/>
        <v>1.6736401673640166E-3</v>
      </c>
      <c r="J43" s="200"/>
      <c r="K43" s="9" t="s">
        <v>105</v>
      </c>
      <c r="L43" s="20">
        <v>339000</v>
      </c>
      <c r="M43" s="20">
        <v>340000</v>
      </c>
      <c r="N43" s="60">
        <f t="shared" si="38"/>
        <v>-2.9455081001472753E-3</v>
      </c>
      <c r="Q43" s="200"/>
      <c r="R43" s="9" t="s">
        <v>105</v>
      </c>
      <c r="S43" s="20">
        <v>194000</v>
      </c>
      <c r="T43" s="20">
        <v>194000</v>
      </c>
      <c r="U43" s="60">
        <f t="shared" si="39"/>
        <v>0</v>
      </c>
    </row>
    <row r="44" spans="3:21" x14ac:dyDescent="0.25">
      <c r="C44" s="200"/>
      <c r="D44" s="9" t="s">
        <v>106</v>
      </c>
      <c r="E44" s="20">
        <v>436000</v>
      </c>
      <c r="F44" s="20">
        <v>437000</v>
      </c>
      <c r="G44" s="60">
        <f t="shared" si="35"/>
        <v>-2.2909507445589921E-3</v>
      </c>
      <c r="J44" s="200"/>
      <c r="K44" s="9" t="s">
        <v>106</v>
      </c>
      <c r="L44" s="20">
        <v>247000</v>
      </c>
      <c r="M44" s="20">
        <v>247000</v>
      </c>
      <c r="N44" s="60">
        <f t="shared" si="38"/>
        <v>0</v>
      </c>
      <c r="Q44" s="200"/>
      <c r="R44" s="9" t="s">
        <v>106</v>
      </c>
      <c r="S44" s="20">
        <v>139000</v>
      </c>
      <c r="T44" s="20">
        <v>139000</v>
      </c>
      <c r="U44" s="60">
        <f t="shared" si="39"/>
        <v>0</v>
      </c>
    </row>
    <row r="45" spans="3:21" ht="14.25" customHeight="1" x14ac:dyDescent="0.25">
      <c r="C45" s="200"/>
      <c r="D45" s="9" t="s">
        <v>107</v>
      </c>
      <c r="E45" s="20">
        <v>374000</v>
      </c>
      <c r="F45" s="20">
        <v>375000</v>
      </c>
      <c r="G45" s="60">
        <f t="shared" si="35"/>
        <v>-2.6702269692923898E-3</v>
      </c>
      <c r="J45" s="200"/>
      <c r="K45" s="9" t="s">
        <v>107</v>
      </c>
      <c r="L45" s="20">
        <v>226000</v>
      </c>
      <c r="M45" s="20">
        <v>226000</v>
      </c>
      <c r="N45" s="60">
        <f t="shared" si="38"/>
        <v>0</v>
      </c>
      <c r="Q45" s="200"/>
      <c r="R45" s="9" t="s">
        <v>107</v>
      </c>
      <c r="S45" s="20">
        <v>124000</v>
      </c>
      <c r="T45" s="20">
        <v>124000</v>
      </c>
      <c r="U45" s="60">
        <f t="shared" si="39"/>
        <v>0</v>
      </c>
    </row>
    <row r="46" spans="3:21" ht="15.75" thickBot="1" x14ac:dyDescent="0.3">
      <c r="C46" s="201"/>
      <c r="D46" s="118" t="s">
        <v>108</v>
      </c>
      <c r="E46" s="45">
        <v>116000</v>
      </c>
      <c r="F46" s="45">
        <v>116000</v>
      </c>
      <c r="G46" s="61">
        <f t="shared" si="35"/>
        <v>0</v>
      </c>
      <c r="J46" s="201"/>
      <c r="K46" s="118" t="s">
        <v>108</v>
      </c>
      <c r="L46" s="45">
        <v>64900</v>
      </c>
      <c r="M46" s="45">
        <v>64900</v>
      </c>
      <c r="N46" s="61">
        <f t="shared" si="38"/>
        <v>0</v>
      </c>
      <c r="Q46" s="201"/>
      <c r="R46" s="118" t="s">
        <v>108</v>
      </c>
      <c r="S46" s="45">
        <v>36100</v>
      </c>
      <c r="T46" s="45">
        <v>36100</v>
      </c>
      <c r="U46" s="61">
        <f t="shared" si="39"/>
        <v>0</v>
      </c>
    </row>
  </sheetData>
  <mergeCells count="27">
    <mergeCell ref="Q37:Q41"/>
    <mergeCell ref="Q42:Q46"/>
    <mergeCell ref="J32:J36"/>
    <mergeCell ref="J37:J41"/>
    <mergeCell ref="J42:J46"/>
    <mergeCell ref="R12:V12"/>
    <mergeCell ref="Q14:Q16"/>
    <mergeCell ref="Q17:Q19"/>
    <mergeCell ref="Q20:Q22"/>
    <mergeCell ref="Q23:Q25"/>
    <mergeCell ref="Q27:Q31"/>
    <mergeCell ref="Q32:Q36"/>
    <mergeCell ref="C27:C31"/>
    <mergeCell ref="K12:O12"/>
    <mergeCell ref="J14:J16"/>
    <mergeCell ref="J17:J19"/>
    <mergeCell ref="J20:J22"/>
    <mergeCell ref="J23:J25"/>
    <mergeCell ref="J27:J31"/>
    <mergeCell ref="D12:H12"/>
    <mergeCell ref="C42:C46"/>
    <mergeCell ref="C37:C41"/>
    <mergeCell ref="C32:C36"/>
    <mergeCell ref="C14:C16"/>
    <mergeCell ref="C17:C19"/>
    <mergeCell ref="C20:C22"/>
    <mergeCell ref="C23:C25"/>
  </mergeCells>
  <conditionalFormatting sqref="G27:G46">
    <cfRule type="cellIs" dxfId="5" priority="5" operator="lessThan">
      <formula>-0.01</formula>
    </cfRule>
    <cfRule type="cellIs" dxfId="4" priority="6" operator="notEqual">
      <formula>0</formula>
    </cfRule>
  </conditionalFormatting>
  <conditionalFormatting sqref="N27:N46">
    <cfRule type="cellIs" dxfId="3" priority="3" operator="lessThan">
      <formula>-0.01</formula>
    </cfRule>
    <cfRule type="cellIs" dxfId="2" priority="4" operator="notEqual">
      <formula>0</formula>
    </cfRule>
  </conditionalFormatting>
  <conditionalFormatting sqref="U27:U46">
    <cfRule type="cellIs" dxfId="1" priority="1" operator="lessThan">
      <formula>-0.01</formula>
    </cfRule>
    <cfRule type="cellIs" dxfId="0" priority="2" operator="not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workbookViewId="0">
      <selection activeCell="F20" sqref="F20:G20"/>
    </sheetView>
  </sheetViews>
  <sheetFormatPr defaultRowHeight="15" x14ac:dyDescent="0.25"/>
  <cols>
    <col min="2" max="2" width="9" customWidth="1"/>
    <col min="3" max="3" width="11.7109375" bestFit="1" customWidth="1"/>
    <col min="4" max="4" width="10.28515625" bestFit="1" customWidth="1"/>
    <col min="6" max="6" width="10.28515625" bestFit="1" customWidth="1"/>
    <col min="15" max="15" width="9" customWidth="1"/>
    <col min="16" max="16" width="8.5703125" bestFit="1" customWidth="1"/>
    <col min="17" max="17" width="8.7109375" customWidth="1"/>
    <col min="18" max="18" width="8.28515625" customWidth="1"/>
  </cols>
  <sheetData>
    <row r="1" spans="1:29" x14ac:dyDescent="0.25">
      <c r="A1" s="229" t="s">
        <v>112</v>
      </c>
      <c r="B1" s="230"/>
      <c r="C1" s="230"/>
      <c r="D1" s="230"/>
      <c r="E1" s="230"/>
      <c r="F1" s="230"/>
      <c r="G1" s="230"/>
      <c r="H1" s="230"/>
      <c r="I1" s="231"/>
    </row>
    <row r="2" spans="1:29" x14ac:dyDescent="0.25">
      <c r="A2" s="157"/>
      <c r="B2" s="158" t="s">
        <v>113</v>
      </c>
      <c r="C2" s="158" t="s">
        <v>114</v>
      </c>
      <c r="D2" s="158" t="s">
        <v>115</v>
      </c>
      <c r="E2" s="158" t="s">
        <v>116</v>
      </c>
      <c r="F2" s="158" t="s">
        <v>117</v>
      </c>
      <c r="G2" s="158" t="s">
        <v>118</v>
      </c>
      <c r="H2" s="158" t="s">
        <v>119</v>
      </c>
      <c r="I2" s="159" t="s">
        <v>94</v>
      </c>
    </row>
    <row r="3" spans="1:29" x14ac:dyDescent="0.25">
      <c r="A3" s="160" t="s">
        <v>34</v>
      </c>
      <c r="B3" s="161" t="s">
        <v>120</v>
      </c>
      <c r="C3" s="162">
        <v>1.8699999999999999E-8</v>
      </c>
      <c r="D3" s="162">
        <v>2.77E-8</v>
      </c>
      <c r="E3" s="162">
        <v>1.3799999999999999E-8</v>
      </c>
      <c r="F3" s="162">
        <v>2.5799999999999999E-8</v>
      </c>
      <c r="G3" s="162">
        <v>2.77E-8</v>
      </c>
      <c r="H3" s="162">
        <v>1.3199999999999999E-13</v>
      </c>
      <c r="I3" s="163">
        <f>0.0000581/(10^6)</f>
        <v>5.8100000000000005E-11</v>
      </c>
    </row>
    <row r="4" spans="1:29" ht="15.75" thickBot="1" x14ac:dyDescent="0.3">
      <c r="A4" s="160" t="s">
        <v>35</v>
      </c>
      <c r="B4" s="161" t="s">
        <v>120</v>
      </c>
      <c r="C4" s="162">
        <v>2.1900000000000002E-6</v>
      </c>
      <c r="D4" s="162">
        <v>1.24E-5</v>
      </c>
      <c r="E4" s="162">
        <v>2.26E-6</v>
      </c>
      <c r="F4" s="162">
        <v>6.4899999999999997E-6</v>
      </c>
      <c r="G4" s="162">
        <v>1.04E-5</v>
      </c>
      <c r="H4" s="162">
        <v>2.4400000000000001E-11</v>
      </c>
      <c r="I4" s="163">
        <f>0.0113/(10^6)</f>
        <v>1.1299999999999999E-8</v>
      </c>
    </row>
    <row r="5" spans="1:29" x14ac:dyDescent="0.25">
      <c r="A5" s="160" t="s">
        <v>36</v>
      </c>
      <c r="B5" s="161" t="s">
        <v>54</v>
      </c>
      <c r="C5" s="162">
        <v>0</v>
      </c>
      <c r="D5" s="162">
        <v>0</v>
      </c>
      <c r="E5" s="162">
        <v>0</v>
      </c>
      <c r="F5" s="162">
        <v>0</v>
      </c>
      <c r="G5" s="162">
        <v>0</v>
      </c>
      <c r="H5" s="162">
        <v>0</v>
      </c>
      <c r="I5" s="163">
        <v>0</v>
      </c>
      <c r="L5" s="232" t="s">
        <v>121</v>
      </c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4"/>
    </row>
    <row r="6" spans="1:29" x14ac:dyDescent="0.25">
      <c r="A6" s="160" t="s">
        <v>36</v>
      </c>
      <c r="B6" s="161" t="s">
        <v>120</v>
      </c>
      <c r="C6" s="162">
        <v>0</v>
      </c>
      <c r="D6" s="162">
        <v>0</v>
      </c>
      <c r="E6" s="162">
        <v>0</v>
      </c>
      <c r="F6" s="162">
        <v>0</v>
      </c>
      <c r="G6" s="162">
        <v>0</v>
      </c>
      <c r="H6" s="162">
        <v>0</v>
      </c>
      <c r="I6" s="163">
        <v>0</v>
      </c>
      <c r="L6" s="164"/>
      <c r="M6" s="165" t="s">
        <v>122</v>
      </c>
      <c r="N6" s="165" t="s">
        <v>123</v>
      </c>
      <c r="O6" s="165" t="s">
        <v>124</v>
      </c>
      <c r="P6" s="165" t="s">
        <v>125</v>
      </c>
      <c r="Q6" s="165" t="s">
        <v>126</v>
      </c>
      <c r="R6" s="165" t="s">
        <v>127</v>
      </c>
      <c r="S6" s="165" t="s">
        <v>128</v>
      </c>
      <c r="T6" s="165" t="s">
        <v>129</v>
      </c>
      <c r="U6" s="165" t="s">
        <v>130</v>
      </c>
      <c r="V6" s="165" t="s">
        <v>131</v>
      </c>
      <c r="W6" s="165" t="s">
        <v>132</v>
      </c>
      <c r="X6" s="165" t="s">
        <v>133</v>
      </c>
      <c r="Y6" s="165" t="s">
        <v>134</v>
      </c>
      <c r="Z6" s="165" t="s">
        <v>135</v>
      </c>
      <c r="AA6" s="165" t="s">
        <v>136</v>
      </c>
      <c r="AB6" s="165" t="s">
        <v>137</v>
      </c>
      <c r="AC6" s="166" t="s">
        <v>138</v>
      </c>
    </row>
    <row r="7" spans="1:29" ht="15.75" thickBot="1" x14ac:dyDescent="0.3">
      <c r="A7" s="167" t="s">
        <v>37</v>
      </c>
      <c r="B7" s="168" t="s">
        <v>120</v>
      </c>
      <c r="C7" s="169">
        <v>3.6800000000000002E-10</v>
      </c>
      <c r="D7" s="169">
        <v>6.9200000000000004E-11</v>
      </c>
      <c r="E7" s="169">
        <v>4.8100000000000001E-11</v>
      </c>
      <c r="F7" s="169">
        <v>6.3000000000000002E-11</v>
      </c>
      <c r="G7" s="169">
        <v>6.8700000000000006E-11</v>
      </c>
      <c r="H7" s="169">
        <v>5.9600000000000002E-16</v>
      </c>
      <c r="I7" s="170">
        <f>0.000000256/(10^6)</f>
        <v>2.5600000000000002E-13</v>
      </c>
      <c r="L7" s="160" t="s">
        <v>34</v>
      </c>
      <c r="M7" s="162">
        <v>8.4000000000000005E-2</v>
      </c>
      <c r="N7" s="162">
        <v>0.15</v>
      </c>
      <c r="O7" s="162">
        <v>0.27</v>
      </c>
      <c r="P7" s="162">
        <v>0.39</v>
      </c>
      <c r="Q7" s="162">
        <v>0.51</v>
      </c>
      <c r="R7" s="162">
        <v>0.65</v>
      </c>
      <c r="S7" s="162">
        <v>0.74</v>
      </c>
      <c r="T7" s="162">
        <v>0.81</v>
      </c>
      <c r="U7" s="162">
        <v>0.87</v>
      </c>
      <c r="V7" s="162">
        <v>0.91</v>
      </c>
      <c r="W7" s="162">
        <v>0.93</v>
      </c>
      <c r="X7" s="162">
        <v>0.95</v>
      </c>
      <c r="Y7" s="162">
        <v>0.98</v>
      </c>
      <c r="Z7" s="162">
        <v>0.99</v>
      </c>
      <c r="AA7" s="162">
        <v>0.99</v>
      </c>
      <c r="AB7" s="162">
        <v>1</v>
      </c>
      <c r="AC7" s="163">
        <v>1</v>
      </c>
    </row>
    <row r="8" spans="1:29" ht="15.75" thickBot="1" x14ac:dyDescent="0.3">
      <c r="L8" s="160" t="s">
        <v>35</v>
      </c>
      <c r="M8" s="162">
        <v>2.8000000000000001E-2</v>
      </c>
      <c r="N8" s="162">
        <v>5.1999999999999998E-2</v>
      </c>
      <c r="O8" s="162">
        <v>9.8000000000000004E-2</v>
      </c>
      <c r="P8" s="162">
        <v>0.15</v>
      </c>
      <c r="Q8" s="162">
        <v>0.21</v>
      </c>
      <c r="R8" s="162">
        <v>0.28999999999999998</v>
      </c>
      <c r="S8" s="162">
        <v>0.37</v>
      </c>
      <c r="T8" s="162">
        <v>0.44</v>
      </c>
      <c r="U8" s="162">
        <v>0.54</v>
      </c>
      <c r="V8" s="162">
        <v>0.59</v>
      </c>
      <c r="W8" s="162">
        <v>0.66</v>
      </c>
      <c r="X8" s="162">
        <v>0.74</v>
      </c>
      <c r="Y8" s="162">
        <v>0.81</v>
      </c>
      <c r="Z8" s="162">
        <v>0.87</v>
      </c>
      <c r="AA8" s="162">
        <v>0.91</v>
      </c>
      <c r="AB8" s="162">
        <v>0.97</v>
      </c>
      <c r="AC8" s="163">
        <v>1</v>
      </c>
    </row>
    <row r="9" spans="1:29" x14ac:dyDescent="0.25">
      <c r="A9" s="235" t="s">
        <v>27</v>
      </c>
      <c r="B9" s="236"/>
      <c r="C9" s="236"/>
      <c r="D9" s="236"/>
      <c r="E9" s="236"/>
      <c r="F9" s="237"/>
      <c r="L9" s="160" t="s">
        <v>36</v>
      </c>
      <c r="M9" s="162">
        <v>1</v>
      </c>
      <c r="N9" s="162">
        <v>1</v>
      </c>
      <c r="O9" s="162">
        <v>1</v>
      </c>
      <c r="P9" s="162">
        <v>1</v>
      </c>
      <c r="Q9" s="162">
        <v>1</v>
      </c>
      <c r="R9" s="162">
        <v>1</v>
      </c>
      <c r="S9" s="162">
        <v>1</v>
      </c>
      <c r="T9" s="162">
        <v>1</v>
      </c>
      <c r="U9" s="162">
        <v>1</v>
      </c>
      <c r="V9" s="162">
        <v>1</v>
      </c>
      <c r="W9" s="162">
        <v>1</v>
      </c>
      <c r="X9" s="162">
        <v>1</v>
      </c>
      <c r="Y9" s="162">
        <v>1</v>
      </c>
      <c r="Z9" s="162">
        <v>1</v>
      </c>
      <c r="AA9" s="162">
        <v>1</v>
      </c>
      <c r="AB9" s="162">
        <v>1</v>
      </c>
      <c r="AC9" s="163">
        <v>1</v>
      </c>
    </row>
    <row r="10" spans="1:29" ht="15.75" thickBot="1" x14ac:dyDescent="0.3">
      <c r="A10" s="171"/>
      <c r="B10" s="172" t="s">
        <v>113</v>
      </c>
      <c r="C10" s="172" t="s">
        <v>139</v>
      </c>
      <c r="D10" s="172" t="s">
        <v>140</v>
      </c>
      <c r="E10" s="172" t="s">
        <v>86</v>
      </c>
      <c r="F10" s="173" t="s">
        <v>141</v>
      </c>
      <c r="L10" s="167" t="s">
        <v>37</v>
      </c>
      <c r="M10" s="169">
        <v>0.1</v>
      </c>
      <c r="N10" s="169">
        <v>0.18</v>
      </c>
      <c r="O10" s="169">
        <v>0.33</v>
      </c>
      <c r="P10" s="169">
        <v>0.47</v>
      </c>
      <c r="Q10" s="169">
        <v>0.61</v>
      </c>
      <c r="R10" s="169">
        <v>0.78</v>
      </c>
      <c r="S10" s="169">
        <v>0.87</v>
      </c>
      <c r="T10" s="169">
        <v>0.94</v>
      </c>
      <c r="U10" s="169">
        <v>0.99</v>
      </c>
      <c r="V10" s="169">
        <v>1</v>
      </c>
      <c r="W10" s="169">
        <v>1</v>
      </c>
      <c r="X10" s="169">
        <v>1</v>
      </c>
      <c r="Y10" s="169">
        <v>1</v>
      </c>
      <c r="Z10" s="169">
        <v>1</v>
      </c>
      <c r="AA10" s="169">
        <v>1</v>
      </c>
      <c r="AB10" s="169">
        <v>1</v>
      </c>
      <c r="AC10" s="170">
        <v>1</v>
      </c>
    </row>
    <row r="11" spans="1:29" ht="15.75" thickBot="1" x14ac:dyDescent="0.3">
      <c r="A11" s="160" t="s">
        <v>34</v>
      </c>
      <c r="B11" s="161" t="s">
        <v>120</v>
      </c>
      <c r="C11" s="162">
        <v>1.04E-10</v>
      </c>
      <c r="D11" s="162">
        <v>1.34E-10</v>
      </c>
      <c r="E11" s="162">
        <v>1.8400000000000001E-10</v>
      </c>
      <c r="F11" s="163">
        <v>9.0999999999999996E-11</v>
      </c>
    </row>
    <row r="12" spans="1:29" x14ac:dyDescent="0.25">
      <c r="A12" s="160" t="s">
        <v>35</v>
      </c>
      <c r="B12" s="161" t="s">
        <v>120</v>
      </c>
      <c r="C12" s="162">
        <v>1.58E-11</v>
      </c>
      <c r="D12" s="162">
        <v>2.23E-11</v>
      </c>
      <c r="E12" s="162">
        <v>3.8100000000000003E-11</v>
      </c>
      <c r="F12" s="163">
        <v>7.3300000000000005E-12</v>
      </c>
      <c r="L12" s="238" t="s">
        <v>115</v>
      </c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40"/>
    </row>
    <row r="13" spans="1:29" x14ac:dyDescent="0.25">
      <c r="A13" s="160" t="s">
        <v>36</v>
      </c>
      <c r="B13" s="161" t="s">
        <v>54</v>
      </c>
      <c r="C13" s="162">
        <v>5.0700000000000001E-14</v>
      </c>
      <c r="D13" s="162">
        <v>6.5099999999999995E-14</v>
      </c>
      <c r="E13" s="162">
        <v>8.9900000000000001E-14</v>
      </c>
      <c r="F13" s="163">
        <v>4.5099999999999998E-14</v>
      </c>
      <c r="L13" s="174"/>
      <c r="M13" s="175" t="s">
        <v>122</v>
      </c>
      <c r="N13" s="175" t="s">
        <v>123</v>
      </c>
      <c r="O13" s="175" t="s">
        <v>124</v>
      </c>
      <c r="P13" s="175" t="s">
        <v>125</v>
      </c>
      <c r="Q13" s="175" t="s">
        <v>126</v>
      </c>
      <c r="R13" s="175" t="s">
        <v>127</v>
      </c>
      <c r="S13" s="175" t="s">
        <v>128</v>
      </c>
      <c r="T13" s="175" t="s">
        <v>129</v>
      </c>
      <c r="U13" s="175" t="s">
        <v>130</v>
      </c>
      <c r="V13" s="175" t="s">
        <v>131</v>
      </c>
      <c r="W13" s="175" t="s">
        <v>132</v>
      </c>
      <c r="X13" s="175" t="s">
        <v>133</v>
      </c>
      <c r="Y13" s="175" t="s">
        <v>134</v>
      </c>
      <c r="Z13" s="175" t="s">
        <v>135</v>
      </c>
      <c r="AA13" s="175" t="s">
        <v>136</v>
      </c>
      <c r="AB13" s="175" t="s">
        <v>137</v>
      </c>
      <c r="AC13" s="176" t="s">
        <v>138</v>
      </c>
    </row>
    <row r="14" spans="1:29" x14ac:dyDescent="0.25">
      <c r="A14" s="160" t="s">
        <v>36</v>
      </c>
      <c r="B14" s="161" t="s">
        <v>120</v>
      </c>
      <c r="C14" s="162">
        <v>1.12E-13</v>
      </c>
      <c r="D14" s="162">
        <v>1.4399999999999999E-13</v>
      </c>
      <c r="E14" s="162">
        <v>0</v>
      </c>
      <c r="F14" s="163">
        <v>0</v>
      </c>
      <c r="L14" s="160" t="s">
        <v>34</v>
      </c>
      <c r="M14" s="162">
        <v>0.1</v>
      </c>
      <c r="N14" s="162">
        <v>0.19</v>
      </c>
      <c r="O14" s="162">
        <v>0.32</v>
      </c>
      <c r="P14" s="162">
        <v>0.48</v>
      </c>
      <c r="Q14" s="162">
        <v>0.55000000000000004</v>
      </c>
      <c r="R14" s="162">
        <v>0.66</v>
      </c>
      <c r="S14" s="162">
        <v>0.69</v>
      </c>
      <c r="T14" s="162">
        <v>0.75</v>
      </c>
      <c r="U14" s="162">
        <v>0.74</v>
      </c>
      <c r="V14" s="162">
        <v>0.82</v>
      </c>
      <c r="W14" s="162">
        <v>0.87</v>
      </c>
      <c r="X14" s="162">
        <v>0.91</v>
      </c>
      <c r="Y14" s="162">
        <v>1.1000000000000001</v>
      </c>
      <c r="Z14" s="162">
        <v>0.95</v>
      </c>
      <c r="AA14" s="162">
        <v>0.99</v>
      </c>
      <c r="AB14" s="162">
        <v>1</v>
      </c>
      <c r="AC14" s="163">
        <v>1</v>
      </c>
    </row>
    <row r="15" spans="1:29" ht="15.75" thickBot="1" x14ac:dyDescent="0.3">
      <c r="A15" s="167" t="s">
        <v>37</v>
      </c>
      <c r="B15" s="168" t="s">
        <v>120</v>
      </c>
      <c r="C15" s="169">
        <v>1.3100000000000001E-10</v>
      </c>
      <c r="D15" s="169">
        <v>1.6900000000000001E-10</v>
      </c>
      <c r="E15" s="169">
        <v>2.25E-10</v>
      </c>
      <c r="F15" s="170">
        <v>1.1700000000000001E-10</v>
      </c>
      <c r="L15" s="160" t="s">
        <v>35</v>
      </c>
      <c r="M15" s="162">
        <v>9.8000000000000004E-2</v>
      </c>
      <c r="N15" s="162">
        <v>0.18</v>
      </c>
      <c r="O15" s="162">
        <v>0.33</v>
      </c>
      <c r="P15" s="162">
        <v>0.49</v>
      </c>
      <c r="Q15" s="162">
        <v>0.59</v>
      </c>
      <c r="R15" s="162">
        <v>0.7</v>
      </c>
      <c r="S15" s="162">
        <v>0.74</v>
      </c>
      <c r="T15" s="162">
        <v>0.76</v>
      </c>
      <c r="U15" s="162">
        <v>0.71</v>
      </c>
      <c r="V15" s="162">
        <v>0.93</v>
      </c>
      <c r="W15" s="162">
        <v>0.85</v>
      </c>
      <c r="X15" s="162">
        <v>0.88</v>
      </c>
      <c r="Y15" s="162">
        <v>0.92</v>
      </c>
      <c r="Z15" s="162">
        <v>0.94</v>
      </c>
      <c r="AA15" s="162">
        <v>1</v>
      </c>
      <c r="AB15" s="162">
        <v>0.95</v>
      </c>
      <c r="AC15" s="163">
        <v>1</v>
      </c>
    </row>
    <row r="16" spans="1:29" ht="15.75" thickBot="1" x14ac:dyDescent="0.3">
      <c r="L16" s="160" t="s">
        <v>36</v>
      </c>
      <c r="M16" s="162">
        <v>1</v>
      </c>
      <c r="N16" s="162">
        <v>1</v>
      </c>
      <c r="O16" s="162">
        <v>1</v>
      </c>
      <c r="P16" s="162">
        <v>1</v>
      </c>
      <c r="Q16" s="162">
        <v>1</v>
      </c>
      <c r="R16" s="162">
        <v>1</v>
      </c>
      <c r="S16" s="162">
        <v>1</v>
      </c>
      <c r="T16" s="162">
        <v>1</v>
      </c>
      <c r="U16" s="162">
        <v>1</v>
      </c>
      <c r="V16" s="162">
        <v>1</v>
      </c>
      <c r="W16" s="162">
        <v>1</v>
      </c>
      <c r="X16" s="162">
        <v>1</v>
      </c>
      <c r="Y16" s="162">
        <v>1</v>
      </c>
      <c r="Z16" s="162">
        <v>1</v>
      </c>
      <c r="AA16" s="162">
        <v>1</v>
      </c>
      <c r="AB16" s="162">
        <v>1</v>
      </c>
      <c r="AC16" s="163">
        <v>1</v>
      </c>
    </row>
    <row r="17" spans="1:29" ht="15.75" thickBot="1" x14ac:dyDescent="0.3">
      <c r="A17" s="241" t="s">
        <v>28</v>
      </c>
      <c r="B17" s="242"/>
      <c r="C17" s="243"/>
      <c r="L17" s="167" t="s">
        <v>37</v>
      </c>
      <c r="M17" s="169">
        <v>0.18</v>
      </c>
      <c r="N17" s="169">
        <v>0.28000000000000003</v>
      </c>
      <c r="O17" s="169">
        <v>0.59</v>
      </c>
      <c r="P17" s="169">
        <v>0.82</v>
      </c>
      <c r="Q17" s="169">
        <v>0.86</v>
      </c>
      <c r="R17" s="169">
        <v>0.98</v>
      </c>
      <c r="S17" s="169">
        <v>1</v>
      </c>
      <c r="T17" s="169">
        <v>0.94</v>
      </c>
      <c r="U17" s="169">
        <v>0.97</v>
      </c>
      <c r="V17" s="169">
        <v>1</v>
      </c>
      <c r="W17" s="169">
        <v>1</v>
      </c>
      <c r="X17" s="169">
        <v>1</v>
      </c>
      <c r="Y17" s="169">
        <v>1.1000000000000001</v>
      </c>
      <c r="Z17" s="169">
        <v>1.1000000000000001</v>
      </c>
      <c r="AA17" s="169">
        <v>0.99</v>
      </c>
      <c r="AB17" s="169">
        <v>1</v>
      </c>
      <c r="AC17" s="170">
        <v>1</v>
      </c>
    </row>
    <row r="18" spans="1:29" x14ac:dyDescent="0.25">
      <c r="A18" s="177"/>
      <c r="B18" s="178" t="s">
        <v>142</v>
      </c>
      <c r="C18" s="179" t="s">
        <v>87</v>
      </c>
    </row>
    <row r="19" spans="1:29" x14ac:dyDescent="0.25">
      <c r="A19" s="160" t="s">
        <v>34</v>
      </c>
      <c r="B19" s="161" t="s">
        <v>143</v>
      </c>
      <c r="C19" s="180">
        <v>3.77E-8</v>
      </c>
    </row>
    <row r="20" spans="1:29" x14ac:dyDescent="0.25">
      <c r="A20" s="160" t="s">
        <v>34</v>
      </c>
      <c r="B20" s="161" t="s">
        <v>120</v>
      </c>
      <c r="C20" s="180">
        <v>2.81E-8</v>
      </c>
    </row>
    <row r="21" spans="1:29" x14ac:dyDescent="0.25">
      <c r="A21" s="160" t="s">
        <v>34</v>
      </c>
      <c r="B21" s="161" t="s">
        <v>144</v>
      </c>
      <c r="C21" s="181">
        <v>3.5399999999999999E-8</v>
      </c>
    </row>
    <row r="22" spans="1:29" x14ac:dyDescent="0.25">
      <c r="A22" s="160" t="s">
        <v>35</v>
      </c>
      <c r="B22" s="161" t="s">
        <v>143</v>
      </c>
      <c r="C22" s="181">
        <v>1.7100000000000001E-11</v>
      </c>
    </row>
    <row r="23" spans="1:29" x14ac:dyDescent="0.25">
      <c r="A23" s="160" t="s">
        <v>35</v>
      </c>
      <c r="B23" s="161" t="s">
        <v>120</v>
      </c>
      <c r="C23" s="163">
        <v>3.59E-11</v>
      </c>
    </row>
    <row r="24" spans="1:29" x14ac:dyDescent="0.25">
      <c r="A24" s="160" t="s">
        <v>35</v>
      </c>
      <c r="B24" s="161" t="s">
        <v>144</v>
      </c>
      <c r="C24" s="163">
        <v>1.01E-10</v>
      </c>
    </row>
    <row r="25" spans="1:29" x14ac:dyDescent="0.25">
      <c r="A25" s="182" t="s">
        <v>36</v>
      </c>
      <c r="B25" s="161" t="s">
        <v>143</v>
      </c>
      <c r="C25" s="163">
        <v>1.9499999999999999E-14</v>
      </c>
    </row>
    <row r="26" spans="1:29" x14ac:dyDescent="0.25">
      <c r="A26" s="182" t="s">
        <v>36</v>
      </c>
      <c r="B26" s="161" t="s">
        <v>120</v>
      </c>
      <c r="C26" s="163">
        <v>1.9900000000000001E-13</v>
      </c>
    </row>
    <row r="27" spans="1:29" x14ac:dyDescent="0.25">
      <c r="A27" s="182" t="s">
        <v>36</v>
      </c>
      <c r="B27" s="161" t="s">
        <v>144</v>
      </c>
      <c r="C27" s="163">
        <v>8.4700000000000003E-13</v>
      </c>
    </row>
    <row r="28" spans="1:29" x14ac:dyDescent="0.25">
      <c r="A28" s="182" t="s">
        <v>36</v>
      </c>
      <c r="B28" s="161" t="s">
        <v>54</v>
      </c>
      <c r="C28" s="163">
        <v>5.6200000000000003E-14</v>
      </c>
    </row>
    <row r="29" spans="1:29" x14ac:dyDescent="0.25">
      <c r="A29" s="182" t="s">
        <v>36</v>
      </c>
      <c r="B29" s="161" t="s">
        <v>145</v>
      </c>
      <c r="C29" s="163">
        <v>5.6200000000000001E-18</v>
      </c>
    </row>
    <row r="30" spans="1:29" x14ac:dyDescent="0.25">
      <c r="A30" s="182" t="s">
        <v>36</v>
      </c>
      <c r="B30" s="161" t="s">
        <v>146</v>
      </c>
      <c r="C30" s="163">
        <v>1.2800000000000001E-13</v>
      </c>
    </row>
    <row r="31" spans="1:29" x14ac:dyDescent="0.25">
      <c r="A31" s="182" t="s">
        <v>37</v>
      </c>
      <c r="B31" s="161" t="s">
        <v>143</v>
      </c>
      <c r="C31" s="163">
        <v>5.2199999999999998E-8</v>
      </c>
    </row>
    <row r="32" spans="1:29" x14ac:dyDescent="0.25">
      <c r="A32" s="182" t="s">
        <v>37</v>
      </c>
      <c r="B32" s="161" t="s">
        <v>120</v>
      </c>
      <c r="C32" s="163">
        <v>3.3600000000000003E-8</v>
      </c>
    </row>
    <row r="33" spans="1:3" ht="15.75" thickBot="1" x14ac:dyDescent="0.3">
      <c r="A33" s="183" t="s">
        <v>37</v>
      </c>
      <c r="B33" s="168" t="s">
        <v>144</v>
      </c>
      <c r="C33" s="170">
        <v>3.55E-8</v>
      </c>
    </row>
  </sheetData>
  <mergeCells count="5">
    <mergeCell ref="A1:I1"/>
    <mergeCell ref="L5:AC5"/>
    <mergeCell ref="A9:F9"/>
    <mergeCell ref="L12:AC12"/>
    <mergeCell ref="A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Soil</vt:lpstr>
      <vt:lpstr>Air</vt:lpstr>
      <vt:lpstr>2-D External Exposure</vt:lpstr>
      <vt:lpstr>Isotope Specific Factors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Stagich, Brooke</dc:creator>
  <cp:lastModifiedBy>Manning, Karessa L.</cp:lastModifiedBy>
  <dcterms:created xsi:type="dcterms:W3CDTF">2015-07-22T12:29:35Z</dcterms:created>
  <dcterms:modified xsi:type="dcterms:W3CDTF">2015-10-12T15:08:55Z</dcterms:modified>
</cp:coreProperties>
</file>